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ml.chartshapes+xml"/>
  <Override PartName="/xl/charts/chart17.xml" ContentType="application/vnd.openxmlformats-officedocument.drawingml.chart+xml"/>
  <Override PartName="/xl/drawings/drawing3.xml" ContentType="application/vnd.openxmlformats-officedocument.drawingml.chartshapes+xml"/>
  <Override PartName="/xl/charts/chart18.xml" ContentType="application/vnd.openxmlformats-officedocument.drawingml.chart+xml"/>
  <Override PartName="/xl/drawings/drawing4.xml" ContentType="application/vnd.openxmlformats-officedocument.drawingml.chartshapes+xml"/>
  <Override PartName="/xl/charts/chart19.xml" ContentType="application/vnd.openxmlformats-officedocument.drawingml.chart+xml"/>
  <Override PartName="/xl/drawings/drawing5.xml" ContentType="application/vnd.openxmlformats-officedocument.drawingml.chartshapes+xml"/>
  <Override PartName="/xl/charts/chart20.xml" ContentType="application/vnd.openxmlformats-officedocument.drawingml.chart+xml"/>
  <Override PartName="/xl/drawings/drawing6.xml" ContentType="application/vnd.openxmlformats-officedocument.drawingml.chartshapes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ml.chartshapes+xml"/>
  <Override PartName="/xl/charts/chart23.xml" ContentType="application/vnd.openxmlformats-officedocument.drawingml.chart+xml"/>
  <Override PartName="/xl/drawings/drawing9.xml" ContentType="application/vnd.openxmlformats-officedocument.drawingml.chartshapes+xml"/>
  <Override PartName="/xl/charts/chart24.xml" ContentType="application/vnd.openxmlformats-officedocument.drawingml.chart+xml"/>
  <Override PartName="/xl/drawings/drawing10.xml" ContentType="application/vnd.openxmlformats-officedocument.drawingml.chartshapes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ano-\Downloads\"/>
    </mc:Choice>
  </mc:AlternateContent>
  <xr:revisionPtr revIDLastSave="0" documentId="13_ncr:9_{DDB609AD-044B-4CEE-8D49-E72EE3D284F6}" xr6:coauthVersionLast="47" xr6:coauthVersionMax="47" xr10:uidLastSave="{00000000-0000-0000-0000-000000000000}"/>
  <bookViews>
    <workbookView xWindow="-98" yWindow="-98" windowWidth="28996" windowHeight="15675" activeTab="1" xr2:uid="{5F33D3AF-5B9C-4C1E-94D0-D3DEE72CF075}"/>
  </bookViews>
  <sheets>
    <sheet name="Sheet1" sheetId="1" r:id="rId1"/>
    <sheet name="佐野修正" sheetId="4" r:id="rId2"/>
  </sheets>
  <definedNames>
    <definedName name="_Hlk304448985" localSheetId="0">Sheet1!$A$93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B42" i="1"/>
  <c r="B43" i="1"/>
  <c r="AI32" i="1"/>
  <c r="AH33" i="1"/>
  <c r="AI33" i="1"/>
  <c r="AI34" i="1"/>
  <c r="AI35" i="1"/>
  <c r="AI36" i="1"/>
  <c r="AI37" i="1"/>
  <c r="AI38" i="1"/>
  <c r="AI39" i="1"/>
  <c r="AI40" i="1"/>
  <c r="AI41" i="1"/>
  <c r="AI42" i="1"/>
  <c r="AI31" i="1"/>
  <c r="AH44" i="1"/>
  <c r="AI44" i="1"/>
  <c r="K54" i="1"/>
  <c r="L54" i="1"/>
  <c r="K101" i="1"/>
  <c r="N101" i="1"/>
  <c r="L101" i="1"/>
  <c r="I103" i="1"/>
  <c r="I100" i="1"/>
  <c r="N100" i="1"/>
  <c r="I104" i="1"/>
  <c r="I102" i="1"/>
  <c r="K100" i="1"/>
  <c r="L100" i="1"/>
  <c r="I99" i="1"/>
  <c r="N99" i="1"/>
  <c r="I98" i="1"/>
  <c r="K98" i="1"/>
  <c r="I97" i="1"/>
  <c r="K97" i="1"/>
  <c r="L97" i="1"/>
  <c r="I94" i="1"/>
  <c r="K94" i="1"/>
  <c r="L94" i="1"/>
  <c r="I96" i="1"/>
  <c r="K96" i="1"/>
  <c r="L96" i="1"/>
  <c r="I95" i="1"/>
  <c r="K95" i="1"/>
  <c r="L95" i="1"/>
  <c r="S104" i="1"/>
  <c r="S102" i="1"/>
  <c r="S94" i="1"/>
  <c r="S96" i="1"/>
  <c r="R100" i="1"/>
  <c r="S98" i="1"/>
  <c r="R98" i="1"/>
  <c r="R104" i="1"/>
  <c r="R102" i="1"/>
  <c r="R96" i="1"/>
  <c r="R94" i="1"/>
  <c r="D82" i="1"/>
  <c r="J79" i="1"/>
  <c r="F83" i="1"/>
  <c r="F82" i="1"/>
  <c r="O82" i="1"/>
  <c r="O83" i="1"/>
  <c r="S79" i="1"/>
  <c r="R79" i="1"/>
  <c r="R81" i="1"/>
  <c r="R85" i="1"/>
  <c r="R86" i="1"/>
  <c r="R87" i="1"/>
  <c r="R88" i="1"/>
  <c r="R89" i="1"/>
  <c r="Q79" i="1"/>
  <c r="Q81" i="1"/>
  <c r="Q82" i="1"/>
  <c r="Q83" i="1"/>
  <c r="Q84" i="1"/>
  <c r="Q85" i="1"/>
  <c r="Q86" i="1"/>
  <c r="Q87" i="1"/>
  <c r="Q88" i="1"/>
  <c r="Q89" i="1"/>
  <c r="P79" i="1"/>
  <c r="P81" i="1"/>
  <c r="P82" i="1"/>
  <c r="P83" i="1"/>
  <c r="P84" i="1"/>
  <c r="P85" i="1"/>
  <c r="P86" i="1"/>
  <c r="P87" i="1"/>
  <c r="P88" i="1"/>
  <c r="P89" i="1"/>
  <c r="O79" i="1"/>
  <c r="O81" i="1"/>
  <c r="O85" i="1"/>
  <c r="O86" i="1"/>
  <c r="O87" i="1"/>
  <c r="O88" i="1"/>
  <c r="O89" i="1"/>
  <c r="C81" i="1"/>
  <c r="J81" i="1"/>
  <c r="S81" i="1"/>
  <c r="C84" i="1"/>
  <c r="I84" i="1"/>
  <c r="R84" i="1"/>
  <c r="F84" i="1"/>
  <c r="O84" i="1"/>
  <c r="D84" i="1"/>
  <c r="M84" i="1"/>
  <c r="E84" i="1"/>
  <c r="S78" i="1"/>
  <c r="R78" i="1"/>
  <c r="Q78" i="1"/>
  <c r="P78" i="1"/>
  <c r="O78" i="1"/>
  <c r="N79" i="1"/>
  <c r="N81" i="1"/>
  <c r="N82" i="1"/>
  <c r="N83" i="1"/>
  <c r="N84" i="1"/>
  <c r="N85" i="1"/>
  <c r="N86" i="1"/>
  <c r="N87" i="1"/>
  <c r="N88" i="1"/>
  <c r="N89" i="1"/>
  <c r="N78" i="1"/>
  <c r="M79" i="1"/>
  <c r="M81" i="1"/>
  <c r="M82" i="1"/>
  <c r="D83" i="1"/>
  <c r="M83" i="1"/>
  <c r="M85" i="1"/>
  <c r="M86" i="1"/>
  <c r="M87" i="1"/>
  <c r="M88" i="1"/>
  <c r="M89" i="1"/>
  <c r="M78" i="1"/>
  <c r="L79" i="1"/>
  <c r="C83" i="1"/>
  <c r="L83" i="1"/>
  <c r="L84" i="1"/>
  <c r="L85" i="1"/>
  <c r="L86" i="1"/>
  <c r="L87" i="1"/>
  <c r="L88" i="1"/>
  <c r="L89" i="1"/>
  <c r="L78" i="1"/>
  <c r="C82" i="1"/>
  <c r="I82" i="1"/>
  <c r="J82" i="1"/>
  <c r="S82" i="1"/>
  <c r="R82" i="1"/>
  <c r="I83" i="1"/>
  <c r="R83" i="1"/>
  <c r="J83" i="1"/>
  <c r="S83" i="1"/>
  <c r="B90" i="1"/>
  <c r="N90" i="1"/>
  <c r="J86" i="1"/>
  <c r="S86" i="1"/>
  <c r="J87" i="1"/>
  <c r="S87" i="1"/>
  <c r="J88" i="1"/>
  <c r="S88" i="1"/>
  <c r="J89" i="1"/>
  <c r="S89" i="1"/>
  <c r="J85" i="1"/>
  <c r="S85" i="1"/>
  <c r="F90" i="1"/>
  <c r="O90" i="1"/>
  <c r="H90" i="1"/>
  <c r="Q90" i="1"/>
  <c r="G90" i="1"/>
  <c r="P90" i="1"/>
  <c r="D90" i="1"/>
  <c r="M90" i="1"/>
  <c r="C90" i="1"/>
  <c r="L90" i="1"/>
  <c r="B80" i="1"/>
  <c r="R80" i="1"/>
  <c r="E76" i="1"/>
  <c r="J60" i="1"/>
  <c r="J61" i="1"/>
  <c r="J62" i="1"/>
  <c r="J63" i="1"/>
  <c r="J59" i="1"/>
  <c r="H76" i="1"/>
  <c r="G76" i="1"/>
  <c r="I64" i="1"/>
  <c r="H64" i="1"/>
  <c r="G64" i="1"/>
  <c r="D64" i="1"/>
  <c r="C64" i="1"/>
  <c r="B64" i="1"/>
  <c r="J64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7" i="1"/>
  <c r="AC37" i="1"/>
  <c r="AE37" i="1"/>
  <c r="AF37" i="1"/>
  <c r="AB38" i="1"/>
  <c r="AC38" i="1"/>
  <c r="AE38" i="1"/>
  <c r="AF38" i="1"/>
  <c r="AB39" i="1"/>
  <c r="AC39" i="1"/>
  <c r="AE39" i="1"/>
  <c r="AF39" i="1"/>
  <c r="AB40" i="1"/>
  <c r="AC40" i="1"/>
  <c r="AE40" i="1"/>
  <c r="AF40" i="1"/>
  <c r="AB41" i="1"/>
  <c r="AC41" i="1"/>
  <c r="AE41" i="1"/>
  <c r="AF41" i="1"/>
  <c r="AB42" i="1"/>
  <c r="AC42" i="1"/>
  <c r="AE42" i="1"/>
  <c r="AF42" i="1"/>
  <c r="W25" i="1"/>
  <c r="X25" i="1"/>
  <c r="Y25" i="1"/>
  <c r="Z25" i="1"/>
  <c r="AA25" i="1"/>
  <c r="W26" i="1"/>
  <c r="X26" i="1"/>
  <c r="Y26" i="1"/>
  <c r="Z26" i="1"/>
  <c r="AA26" i="1"/>
  <c r="W27" i="1"/>
  <c r="X27" i="1"/>
  <c r="Y27" i="1"/>
  <c r="Z27" i="1"/>
  <c r="AA27" i="1"/>
  <c r="W28" i="1"/>
  <c r="X28" i="1"/>
  <c r="Y28" i="1"/>
  <c r="Z28" i="1"/>
  <c r="AA28" i="1"/>
  <c r="W29" i="1"/>
  <c r="X29" i="1"/>
  <c r="Y29" i="1"/>
  <c r="Z29" i="1"/>
  <c r="AA29" i="1"/>
  <c r="W30" i="1"/>
  <c r="X30" i="1"/>
  <c r="Y30" i="1"/>
  <c r="Z30" i="1"/>
  <c r="AA30" i="1"/>
  <c r="W31" i="1"/>
  <c r="X31" i="1"/>
  <c r="Y31" i="1"/>
  <c r="Z31" i="1"/>
  <c r="AA31" i="1"/>
  <c r="W32" i="1"/>
  <c r="X32" i="1"/>
  <c r="Y32" i="1"/>
  <c r="Z32" i="1"/>
  <c r="AA32" i="1"/>
  <c r="W33" i="1"/>
  <c r="X33" i="1"/>
  <c r="Y33" i="1"/>
  <c r="Z33" i="1"/>
  <c r="AA33" i="1"/>
  <c r="W34" i="1"/>
  <c r="X34" i="1"/>
  <c r="Y34" i="1"/>
  <c r="Z34" i="1"/>
  <c r="AA34" i="1"/>
  <c r="W35" i="1"/>
  <c r="X35" i="1"/>
  <c r="Y35" i="1"/>
  <c r="Z35" i="1"/>
  <c r="AA35" i="1"/>
  <c r="AA36" i="1"/>
  <c r="W37" i="1"/>
  <c r="X37" i="1"/>
  <c r="Y37" i="1"/>
  <c r="Z37" i="1"/>
  <c r="AA37" i="1"/>
  <c r="W38" i="1"/>
  <c r="X38" i="1"/>
  <c r="Y38" i="1"/>
  <c r="Z38" i="1"/>
  <c r="AA38" i="1"/>
  <c r="W39" i="1"/>
  <c r="X39" i="1"/>
  <c r="Y39" i="1"/>
  <c r="Z39" i="1"/>
  <c r="AA39" i="1"/>
  <c r="W40" i="1"/>
  <c r="X40" i="1"/>
  <c r="Y40" i="1"/>
  <c r="Z40" i="1"/>
  <c r="AA40" i="1"/>
  <c r="W41" i="1"/>
  <c r="X41" i="1"/>
  <c r="Y41" i="1"/>
  <c r="Z41" i="1"/>
  <c r="AA41" i="1"/>
  <c r="W42" i="1"/>
  <c r="X42" i="1"/>
  <c r="Y42" i="1"/>
  <c r="Z42" i="1"/>
  <c r="AA42" i="1"/>
  <c r="AG24" i="1"/>
  <c r="AF21" i="1"/>
  <c r="AF22" i="1"/>
  <c r="AF23" i="1"/>
  <c r="AF24" i="1"/>
  <c r="AF25" i="1"/>
  <c r="AE21" i="1"/>
  <c r="AE22" i="1"/>
  <c r="AE23" i="1"/>
  <c r="AE24" i="1"/>
  <c r="AE25" i="1"/>
  <c r="AD21" i="1"/>
  <c r="AD22" i="1"/>
  <c r="AD23" i="1"/>
  <c r="AD24" i="1"/>
  <c r="AD25" i="1"/>
  <c r="AC21" i="1"/>
  <c r="AC22" i="1"/>
  <c r="AC23" i="1"/>
  <c r="AC24" i="1"/>
  <c r="AC25" i="1"/>
  <c r="AA23" i="1"/>
  <c r="AA24" i="1"/>
  <c r="Z19" i="1"/>
  <c r="Z20" i="1"/>
  <c r="Z21" i="1"/>
  <c r="Z22" i="1"/>
  <c r="Z23" i="1"/>
  <c r="Z24" i="1"/>
  <c r="Y19" i="1"/>
  <c r="Y20" i="1"/>
  <c r="Y21" i="1"/>
  <c r="Y22" i="1"/>
  <c r="Y23" i="1"/>
  <c r="Y24" i="1"/>
  <c r="X19" i="1"/>
  <c r="X20" i="1"/>
  <c r="X21" i="1"/>
  <c r="X22" i="1"/>
  <c r="X23" i="1"/>
  <c r="X24" i="1"/>
  <c r="W18" i="1"/>
  <c r="W19" i="1"/>
  <c r="W20" i="1"/>
  <c r="W21" i="1"/>
  <c r="W22" i="1"/>
  <c r="W23" i="1"/>
  <c r="W24" i="1"/>
  <c r="AG7" i="1"/>
  <c r="AG8" i="1"/>
  <c r="AG9" i="1"/>
  <c r="AG11" i="1"/>
  <c r="AG12" i="1"/>
  <c r="AG13" i="1"/>
  <c r="AG17" i="1"/>
  <c r="AG6" i="1"/>
  <c r="AF7" i="1"/>
  <c r="AF8" i="1"/>
  <c r="AF9" i="1"/>
  <c r="AF11" i="1"/>
  <c r="AF12" i="1"/>
  <c r="AF13" i="1"/>
  <c r="AF17" i="1"/>
  <c r="AF18" i="1"/>
  <c r="AF19" i="1"/>
  <c r="AF20" i="1"/>
  <c r="AF6" i="1"/>
  <c r="AE7" i="1"/>
  <c r="AE8" i="1"/>
  <c r="AE9" i="1"/>
  <c r="AE11" i="1"/>
  <c r="AE12" i="1"/>
  <c r="AE13" i="1"/>
  <c r="AE17" i="1"/>
  <c r="AE18" i="1"/>
  <c r="AE19" i="1"/>
  <c r="AE20" i="1"/>
  <c r="AE6" i="1"/>
  <c r="AD7" i="1"/>
  <c r="AD8" i="1"/>
  <c r="AD9" i="1"/>
  <c r="AD11" i="1"/>
  <c r="AD12" i="1"/>
  <c r="AD13" i="1"/>
  <c r="AD17" i="1"/>
  <c r="AD18" i="1"/>
  <c r="AD19" i="1"/>
  <c r="AD20" i="1"/>
  <c r="AD6" i="1"/>
  <c r="AC7" i="1"/>
  <c r="AC8" i="1"/>
  <c r="AC9" i="1"/>
  <c r="AC11" i="1"/>
  <c r="AC12" i="1"/>
  <c r="AC13" i="1"/>
  <c r="AC17" i="1"/>
  <c r="AC18" i="1"/>
  <c r="AC19" i="1"/>
  <c r="AC20" i="1"/>
  <c r="AC6" i="1"/>
  <c r="Z18" i="1"/>
  <c r="Y18" i="1"/>
  <c r="X18" i="1"/>
  <c r="W17" i="1"/>
  <c r="AB7" i="1"/>
  <c r="AB8" i="1"/>
  <c r="AB9" i="1"/>
  <c r="AB11" i="1"/>
  <c r="AB12" i="1"/>
  <c r="AB17" i="1"/>
  <c r="AB18" i="1"/>
  <c r="AB19" i="1"/>
  <c r="AB20" i="1"/>
  <c r="AB21" i="1"/>
  <c r="AB22" i="1"/>
  <c r="AB23" i="1"/>
  <c r="AB24" i="1"/>
  <c r="AB25" i="1"/>
  <c r="AB6" i="1"/>
  <c r="AA22" i="1"/>
  <c r="AA21" i="1"/>
  <c r="AA20" i="1"/>
  <c r="AA19" i="1"/>
  <c r="AA18" i="1"/>
  <c r="AA17" i="1"/>
  <c r="AA16" i="1"/>
  <c r="AA15" i="1"/>
  <c r="AA14" i="1"/>
  <c r="AA13" i="1"/>
  <c r="AA12" i="1"/>
  <c r="AA10" i="1"/>
  <c r="AA11" i="1"/>
  <c r="AA9" i="1"/>
  <c r="AA8" i="1"/>
  <c r="Z7" i="1"/>
  <c r="Z8" i="1"/>
  <c r="Z9" i="1"/>
  <c r="Z11" i="1"/>
  <c r="Z12" i="1"/>
  <c r="Z13" i="1"/>
  <c r="Z17" i="1"/>
  <c r="Z6" i="1"/>
  <c r="Y7" i="1"/>
  <c r="Y8" i="1"/>
  <c r="Y9" i="1"/>
  <c r="Y11" i="1"/>
  <c r="Y12" i="1"/>
  <c r="Y13" i="1"/>
  <c r="Y17" i="1"/>
  <c r="Y6" i="1"/>
  <c r="X7" i="1"/>
  <c r="X8" i="1"/>
  <c r="X9" i="1"/>
  <c r="X11" i="1"/>
  <c r="X12" i="1"/>
  <c r="X13" i="1"/>
  <c r="X17" i="1"/>
  <c r="X6" i="1"/>
  <c r="W7" i="1"/>
  <c r="W8" i="1"/>
  <c r="W9" i="1"/>
  <c r="W11" i="1"/>
  <c r="W12" i="1"/>
  <c r="W13" i="1"/>
  <c r="W6" i="1"/>
  <c r="O2" i="1"/>
  <c r="Q2" i="1"/>
  <c r="D37" i="1"/>
  <c r="P37" i="1"/>
  <c r="D38" i="1"/>
  <c r="P38" i="1"/>
  <c r="D39" i="1"/>
  <c r="P39" i="1"/>
  <c r="D40" i="1"/>
  <c r="P40" i="1"/>
  <c r="D41" i="1"/>
  <c r="P41" i="1"/>
  <c r="AG42" i="1"/>
  <c r="B53" i="1"/>
  <c r="B41" i="1"/>
  <c r="AG41" i="1"/>
  <c r="E54" i="1"/>
  <c r="P49" i="1"/>
  <c r="N36" i="1"/>
  <c r="AC36" i="1"/>
  <c r="B35" i="1"/>
  <c r="R35" i="1"/>
  <c r="AG2" i="1"/>
  <c r="R13" i="1"/>
  <c r="S13" i="1"/>
  <c r="T13" i="1"/>
  <c r="AB1" i="1"/>
  <c r="AC1" i="1"/>
  <c r="L13" i="1"/>
  <c r="AB13" i="1"/>
  <c r="N14" i="1"/>
  <c r="AC2" i="1"/>
  <c r="T14" i="1"/>
  <c r="P35" i="1"/>
  <c r="P34" i="1"/>
  <c r="B34" i="1"/>
  <c r="R34" i="1"/>
  <c r="Q26" i="1"/>
  <c r="U25" i="1"/>
  <c r="N16" i="1"/>
  <c r="R16" i="1"/>
  <c r="U17" i="1"/>
  <c r="U18" i="1"/>
  <c r="U19" i="1"/>
  <c r="U20" i="1"/>
  <c r="U21" i="1"/>
  <c r="U22" i="1"/>
  <c r="U23" i="1"/>
  <c r="U24" i="1"/>
  <c r="T9" i="1"/>
  <c r="N10" i="1"/>
  <c r="AC10" i="1"/>
  <c r="AD10" i="1"/>
  <c r="T11" i="1"/>
  <c r="T12" i="1"/>
  <c r="N15" i="1"/>
  <c r="Z15" i="1"/>
  <c r="AG15" i="1"/>
  <c r="T17" i="1"/>
  <c r="T18" i="1"/>
  <c r="T19" i="1"/>
  <c r="T20" i="1"/>
  <c r="T21" i="1"/>
  <c r="T22" i="1"/>
  <c r="T23" i="1"/>
  <c r="T24" i="1"/>
  <c r="T8" i="1"/>
  <c r="S17" i="1"/>
  <c r="S18" i="1"/>
  <c r="S19" i="1"/>
  <c r="S20" i="1"/>
  <c r="S21" i="1"/>
  <c r="S22" i="1"/>
  <c r="S23" i="1"/>
  <c r="S24" i="1"/>
  <c r="R17" i="1"/>
  <c r="B18" i="1"/>
  <c r="AG18" i="1"/>
  <c r="B19" i="1"/>
  <c r="R19" i="1"/>
  <c r="B20" i="1"/>
  <c r="AG20" i="1"/>
  <c r="B21" i="1"/>
  <c r="R21" i="1"/>
  <c r="B22" i="1"/>
  <c r="AG22" i="1"/>
  <c r="B23" i="1"/>
  <c r="R23" i="1"/>
  <c r="R24" i="1"/>
  <c r="B25" i="1"/>
  <c r="R25" i="1"/>
  <c r="B26" i="1"/>
  <c r="AG26" i="1"/>
  <c r="R26" i="1"/>
  <c r="B27" i="1"/>
  <c r="R27" i="1"/>
  <c r="B28" i="1"/>
  <c r="AG28" i="1"/>
  <c r="R28" i="1"/>
  <c r="B29" i="1"/>
  <c r="R29" i="1"/>
  <c r="B30" i="1"/>
  <c r="AG30" i="1"/>
  <c r="B31" i="1"/>
  <c r="R31" i="1"/>
  <c r="B32" i="1"/>
  <c r="R32" i="1"/>
  <c r="B33" i="1"/>
  <c r="AG33" i="1"/>
  <c r="R12" i="1"/>
  <c r="Q17" i="1"/>
  <c r="Q18" i="1"/>
  <c r="Q19" i="1"/>
  <c r="Q20" i="1"/>
  <c r="Q21" i="1"/>
  <c r="Q22" i="1"/>
  <c r="Q23" i="1"/>
  <c r="Q24" i="1"/>
  <c r="Q25" i="1"/>
  <c r="P30" i="1"/>
  <c r="P31" i="1"/>
  <c r="P32" i="1"/>
  <c r="P33" i="1"/>
  <c r="P29" i="1"/>
  <c r="Z16" i="1"/>
  <c r="AC14" i="1"/>
  <c r="AG14" i="1"/>
  <c r="AG10" i="1"/>
  <c r="AG35" i="1"/>
  <c r="AG27" i="1"/>
  <c r="R20" i="1"/>
  <c r="X15" i="1"/>
  <c r="Y15" i="1"/>
  <c r="AB14" i="1"/>
  <c r="AB10" i="1"/>
  <c r="AD16" i="1"/>
  <c r="AF14" i="1"/>
  <c r="AF10" i="1"/>
  <c r="AG23" i="1"/>
  <c r="AD42" i="1"/>
  <c r="AD40" i="1"/>
  <c r="AD38" i="1"/>
  <c r="X10" i="1"/>
  <c r="W14" i="1"/>
  <c r="W10" i="1"/>
  <c r="Y14" i="1"/>
  <c r="Y10" i="1"/>
  <c r="Z14" i="1"/>
  <c r="AC16" i="1"/>
  <c r="AE14" i="1"/>
  <c r="AE10" i="1"/>
  <c r="S16" i="1"/>
  <c r="AB16" i="1"/>
  <c r="AD14" i="1"/>
  <c r="AF16" i="1"/>
  <c r="AG19" i="1"/>
  <c r="AG21" i="1"/>
  <c r="Z36" i="1"/>
  <c r="AD41" i="1"/>
  <c r="AD39" i="1"/>
  <c r="AD37" i="1"/>
  <c r="AF36" i="1"/>
  <c r="AB36" i="1"/>
  <c r="J90" i="1"/>
  <c r="S90" i="1"/>
  <c r="R15" i="1"/>
  <c r="T15" i="1"/>
  <c r="T10" i="1"/>
  <c r="AD1" i="1"/>
  <c r="S15" i="1"/>
  <c r="T16" i="1"/>
  <c r="U16" i="1"/>
  <c r="S14" i="1"/>
  <c r="R14" i="1"/>
  <c r="B38" i="1"/>
  <c r="AG38" i="1"/>
  <c r="AE1" i="1"/>
  <c r="P36" i="1"/>
  <c r="B40" i="1"/>
  <c r="AG40" i="1"/>
  <c r="P42" i="1"/>
  <c r="B37" i="1"/>
  <c r="AG37" i="1"/>
  <c r="B39" i="1"/>
  <c r="AG39" i="1"/>
  <c r="AG32" i="1"/>
  <c r="R30" i="1"/>
  <c r="R22" i="1"/>
  <c r="R18" i="1"/>
  <c r="AF15" i="1"/>
  <c r="Y36" i="1"/>
  <c r="N80" i="1"/>
  <c r="J84" i="1"/>
  <c r="S84" i="1"/>
  <c r="K99" i="1"/>
  <c r="L99" i="1"/>
  <c r="AD15" i="1"/>
  <c r="W36" i="1"/>
  <c r="AG36" i="1"/>
  <c r="AG34" i="1"/>
  <c r="L82" i="1"/>
  <c r="L81" i="1"/>
  <c r="R90" i="1"/>
  <c r="J80" i="1"/>
  <c r="S80" i="1"/>
  <c r="N98" i="1"/>
  <c r="L98" i="1"/>
  <c r="AG29" i="1"/>
  <c r="W16" i="1"/>
  <c r="AB15" i="1"/>
  <c r="AE36" i="1"/>
  <c r="AG31" i="1"/>
  <c r="L80" i="1"/>
  <c r="W15" i="1"/>
  <c r="AE16" i="1"/>
  <c r="Y16" i="1"/>
  <c r="Q16" i="1"/>
  <c r="AG25" i="1"/>
  <c r="AC15" i="1"/>
  <c r="AG16" i="1"/>
  <c r="Z10" i="1"/>
  <c r="X14" i="1"/>
  <c r="AD2" i="1"/>
  <c r="AD36" i="1"/>
  <c r="X36" i="1"/>
  <c r="AE15" i="1"/>
  <c r="AB2" i="1"/>
  <c r="X16" i="1"/>
  <c r="R33" i="1"/>
  <c r="R36" i="1"/>
  <c r="M80" i="1"/>
  <c r="O80" i="1"/>
  <c r="P80" i="1"/>
  <c r="Q80" i="1"/>
</calcChain>
</file>

<file path=xl/sharedStrings.xml><?xml version="1.0" encoding="utf-8"?>
<sst xmlns="http://schemas.openxmlformats.org/spreadsheetml/2006/main" count="191" uniqueCount="121">
  <si>
    <t>Android (Google)</t>
  </si>
  <si>
    <t>Blackberry (RIM)</t>
  </si>
  <si>
    <t>IPhone (Apple)</t>
  </si>
  <si>
    <t>Linux</t>
  </si>
  <si>
    <t>Palm/WebOS (Palm/HP)</t>
  </si>
  <si>
    <t>Symbian (Nokia)</t>
  </si>
  <si>
    <t>Windows Mobile/Phone (Microsoft)</t>
  </si>
  <si>
    <t>^^ from Gartner</t>
    <phoneticPr fontId="0" type="noConversion"/>
  </si>
  <si>
    <t>MeeGo</t>
  </si>
  <si>
    <t>Microsoft</t>
  </si>
  <si>
    <t>QNX</t>
  </si>
  <si>
    <t>WebOS</t>
  </si>
  <si>
    <t>Other Operating Systems</t>
  </si>
  <si>
    <t>Total Market</t>
  </si>
  <si>
    <t>Year</t>
    <phoneticPr fontId="0" type="noConversion"/>
  </si>
  <si>
    <t>Android</t>
    <phoneticPr fontId="0" type="noConversion"/>
  </si>
  <si>
    <t>iOS</t>
    <phoneticPr fontId="0" type="noConversion"/>
  </si>
  <si>
    <t>MeeGo</t>
    <phoneticPr fontId="0" type="noConversion"/>
  </si>
  <si>
    <t>Microsoft</t>
    <phoneticPr fontId="0" type="noConversion"/>
  </si>
  <si>
    <t>QNX</t>
    <phoneticPr fontId="0" type="noConversion"/>
  </si>
  <si>
    <t>WebOS</t>
    <phoneticPr fontId="0" type="noConversion"/>
  </si>
  <si>
    <t>Other</t>
    <phoneticPr fontId="0" type="noConversion"/>
  </si>
  <si>
    <t>Year</t>
  </si>
  <si>
    <t>Apple II</t>
  </si>
  <si>
    <t>Macintosh</t>
  </si>
  <si>
    <t>Atari ST</t>
  </si>
  <si>
    <t>Amiga</t>
  </si>
  <si>
    <t>IBM PC + clones</t>
  </si>
  <si>
    <t>Commodore 64</t>
  </si>
  <si>
    <t>NeXT</t>
  </si>
  <si>
    <t>TOTAL</t>
  </si>
  <si>
    <t>TRS-80</t>
  </si>
  <si>
    <t>Atari 400/800</t>
  </si>
  <si>
    <t>Other</t>
  </si>
  <si>
    <t>Mac share</t>
  </si>
  <si>
    <t>Amiga share</t>
  </si>
  <si>
    <t>PC Share</t>
  </si>
  <si>
    <t>Personal Computers from 1975-2004: Market growth and market share</t>
  </si>
  <si>
    <t>PET</t>
  </si>
  <si>
    <t>1995 -&gt; 4120 units 1996 -&gt; 3388 units 1997 -&gt; 2586 units 1998 -&gt; 3072 units 1999 -&gt; 3881 units 2004 -&gt; 3507 units</t>
  </si>
  <si>
    <t>Apple Q2</t>
    <phoneticPr fontId="0" type="noConversion"/>
  </si>
  <si>
    <t>Apple Q3</t>
    <phoneticPr fontId="0" type="noConversion"/>
  </si>
  <si>
    <t>Apple Q4</t>
    <phoneticPr fontId="0" type="noConversion"/>
  </si>
  <si>
    <t>Apple Q1 (nextyear)</t>
    <phoneticPr fontId="0" type="noConversion"/>
  </si>
  <si>
    <t>end Sep</t>
    <phoneticPr fontId="0" type="noConversion"/>
  </si>
  <si>
    <t>End Dec</t>
    <phoneticPr fontId="0" type="noConversion"/>
  </si>
  <si>
    <t>End Jun</t>
    <phoneticPr fontId="0" type="noConversion"/>
  </si>
  <si>
    <t>End Mar</t>
    <phoneticPr fontId="0" type="noConversion"/>
  </si>
  <si>
    <t>Apple Q2</t>
    <phoneticPr fontId="0" type="noConversion"/>
  </si>
  <si>
    <t>iphone</t>
    <phoneticPr fontId="0" type="noConversion"/>
  </si>
  <si>
    <t>Apple Q3</t>
    <phoneticPr fontId="0" type="noConversion"/>
  </si>
  <si>
    <t>Apple Q4</t>
    <phoneticPr fontId="0" type="noConversion"/>
  </si>
  <si>
    <t>Apple Q1 (next year)</t>
    <phoneticPr fontId="0" type="noConversion"/>
  </si>
  <si>
    <t>ipad</t>
    <phoneticPr fontId="0" type="noConversion"/>
  </si>
  <si>
    <t>Apple Q3</t>
    <phoneticPr fontId="0" type="noConversion"/>
  </si>
  <si>
    <t>Apple Q1</t>
    <phoneticPr fontId="0" type="noConversion"/>
  </si>
  <si>
    <t>quarterly</t>
    <phoneticPr fontId="0" type="noConversion"/>
  </si>
  <si>
    <t>PC 1st q</t>
    <phoneticPr fontId="0" type="noConversion"/>
  </si>
  <si>
    <t>PC 2q</t>
    <phoneticPr fontId="0" type="noConversion"/>
  </si>
  <si>
    <t>PC 3q</t>
    <phoneticPr fontId="0" type="noConversion"/>
  </si>
  <si>
    <t>PC 4q</t>
    <phoneticPr fontId="0" type="noConversion"/>
  </si>
  <si>
    <t>Altair</t>
  </si>
  <si>
    <t>Altair sales =</t>
  </si>
  <si>
    <t>fraction comp</t>
  </si>
  <si>
    <t>cost</t>
  </si>
  <si>
    <t>Others</t>
  </si>
  <si>
    <t>(q1)</t>
  </si>
  <si>
    <t>Worldwide smartphone sales</t>
  </si>
  <si>
    <t>(millions)</t>
  </si>
  <si>
    <t>(eTForecasts "Worldwide PDA and Smartphone Forecase"</t>
  </si>
  <si>
    <t>http://www.etforecasts.com/products/ES_SP-PDA.html</t>
  </si>
  <si>
    <t>(est)</t>
  </si>
  <si>
    <t>total</t>
  </si>
  <si>
    <t>x</t>
  </si>
  <si>
    <t>3x</t>
  </si>
  <si>
    <t>http://www.etforecasts.com/products/ES_pdas2003.htm</t>
  </si>
  <si>
    <t>Total</t>
  </si>
  <si>
    <t>Symbian</t>
  </si>
  <si>
    <t>WinMobile</t>
  </si>
  <si>
    <t>PalmOS</t>
  </si>
  <si>
    <t>Blackberry</t>
  </si>
  <si>
    <t>Android</t>
  </si>
  <si>
    <t>iPhone</t>
  </si>
  <si>
    <t>http://www.zdnet.com/blog/itfacts/mobile-os-market-shares-in-2005-symbian-51-linux-23-windows-17/10153</t>
  </si>
  <si>
    <t>PERCENT</t>
  </si>
  <si>
    <t>http://www.palminfocenter.com/news/9247/report-64-million-smartphones-shipped-in-2006/</t>
  </si>
  <si>
    <t>TABLETS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</si>
  <si>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</si>
  <si>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</si>
  <si>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</si>
  <si>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</si>
  <si>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</si>
  <si>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</si>
  <si>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</si>
  <si>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</si>
  <si>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</si>
  <si>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iPad</t>
  </si>
  <si>
    <t>Windows</t>
  </si>
  <si>
    <t>OS</t>
  </si>
  <si>
    <t>iOS</t>
  </si>
  <si>
    <t>  14,766</t>
  </si>
  <si>
    <t>Market Share (%)</t>
  </si>
  <si>
    <t>q1</t>
  </si>
  <si>
    <t>q2</t>
  </si>
  <si>
    <t>q3</t>
  </si>
  <si>
    <t>q4</t>
  </si>
  <si>
    <t>Year-&gt;</t>
  </si>
  <si>
    <t>2012 Q3</t>
  </si>
  <si>
    <t>2012 Q4</t>
  </si>
  <si>
    <t>2010 -v</t>
  </si>
  <si>
    <t>2011 -v</t>
  </si>
  <si>
    <t>Smartphones</t>
  </si>
  <si>
    <t>Tablets</t>
  </si>
  <si>
    <t>est</t>
  </si>
  <si>
    <t>Chart sizes:</t>
  </si>
  <si>
    <t>width</t>
  </si>
  <si>
    <t>5"</t>
  </si>
  <si>
    <t>height</t>
  </si>
  <si>
    <t>6.65"</t>
  </si>
  <si>
    <t>Commodore 64</t>
    <phoneticPr fontId="0" type="noConversion"/>
  </si>
  <si>
    <t>単位：万台</t>
    <rPh sb="0" eb="2">
      <t>タンイ</t>
    </rPh>
    <rPh sb="3" eb="5">
      <t>マンダイ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</si>
</sst>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3" formatCode="#,##0_ "/>
  </numFmts>
  <fonts count="13">
    <font>
      <sz val="10"/>
      <name val="Arial"/>
    </font>
    <font>
      <sz val="14"/>
      <color indexed="63"/>
      <name val="Helvetica Neue"/>
    </font>
    <font>
      <b/>
      <sz val="11"/>
      <color indexed="8"/>
      <name val="Arial"/>
    </font>
    <font>
      <u/>
      <sz val="10"/>
      <color indexed="12"/>
      <name val="Arial"/>
    </font>
    <font>
      <b/>
      <sz val="10"/>
      <name val="Arial"/>
    </font>
    <font>
      <sz val="10"/>
      <name val="Verdana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/>
    <xf numFmtId="2" fontId="0" fillId="0" borderId="0" xfId="0" applyNumberFormat="1"/>
    <xf numFmtId="2" fontId="6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3" fillId="0" borderId="0" xfId="1" applyAlignment="1" applyProtection="1"/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3" borderId="0" xfId="0" applyFill="1"/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3" fontId="9" fillId="3" borderId="0" xfId="0" applyNumberFormat="1" applyFont="1" applyFill="1" applyAlignment="1">
      <alignment horizontal="right" vertical="center"/>
    </xf>
    <xf numFmtId="2" fontId="9" fillId="3" borderId="0" xfId="0" applyNumberFormat="1" applyFont="1" applyFill="1" applyAlignment="1">
      <alignment horizontal="right" vertical="center" wrapText="1"/>
    </xf>
    <xf numFmtId="2" fontId="10" fillId="3" borderId="0" xfId="0" applyNumberFormat="1" applyFont="1" applyFill="1" applyAlignment="1">
      <alignment horizontal="right" vertical="center"/>
    </xf>
    <xf numFmtId="3" fontId="0" fillId="0" borderId="0" xfId="0" applyNumberFormat="1"/>
    <xf numFmtId="3" fontId="9" fillId="0" borderId="0" xfId="0" applyNumberFormat="1" applyFont="1"/>
    <xf numFmtId="3" fontId="10" fillId="0" borderId="0" xfId="0" applyNumberFormat="1" applyFont="1"/>
    <xf numFmtId="0" fontId="10" fillId="0" borderId="0" xfId="0" applyFont="1"/>
    <xf numFmtId="193" fontId="0" fillId="0" borderId="0" xfId="0" applyNumberFormat="1"/>
    <xf numFmtId="11" fontId="0" fillId="0" borderId="0" xfId="0" applyNumberFormat="1"/>
    <xf numFmtId="0" fontId="12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193" fontId="8" fillId="0" borderId="0" xfId="0" applyNumberFormat="1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8911439768461"/>
          <c:y val="7.2507499389648886E-2"/>
          <c:w val="0.67123332568581828"/>
          <c:h val="0.73111728551229294"/>
        </c:manualLayout>
      </c:layout>
      <c:areaChart>
        <c:grouping val="stacked"/>
        <c:varyColors val="0"/>
        <c:ser>
          <c:idx val="1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Sheet1!$B$6:$B$42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240</c:v>
                </c:pt>
                <c:pt idx="8">
                  <c:v>1300</c:v>
                </c:pt>
                <c:pt idx="9">
                  <c:v>2000</c:v>
                </c:pt>
                <c:pt idx="10">
                  <c:v>3700</c:v>
                </c:pt>
                <c:pt idx="11">
                  <c:v>5020</c:v>
                </c:pt>
                <c:pt idx="12">
                  <c:v>5950</c:v>
                </c:pt>
                <c:pt idx="13">
                  <c:v>11900</c:v>
                </c:pt>
                <c:pt idx="14">
                  <c:v>17550</c:v>
                </c:pt>
                <c:pt idx="15">
                  <c:v>16838</c:v>
                </c:pt>
                <c:pt idx="16">
                  <c:v>14399</c:v>
                </c:pt>
                <c:pt idx="17">
                  <c:v>18300</c:v>
                </c:pt>
                <c:pt idx="18">
                  <c:v>27750</c:v>
                </c:pt>
                <c:pt idx="19">
                  <c:v>37200</c:v>
                </c:pt>
                <c:pt idx="20">
                  <c:v>45880</c:v>
                </c:pt>
                <c:pt idx="21">
                  <c:v>74612</c:v>
                </c:pt>
                <c:pt idx="22">
                  <c:v>78414</c:v>
                </c:pt>
                <c:pt idx="23">
                  <c:v>96928</c:v>
                </c:pt>
                <c:pt idx="24">
                  <c:v>116119</c:v>
                </c:pt>
                <c:pt idx="25">
                  <c:v>134160</c:v>
                </c:pt>
                <c:pt idx="26">
                  <c:v>124826</c:v>
                </c:pt>
                <c:pt idx="27">
                  <c:v>128902</c:v>
                </c:pt>
                <c:pt idx="28">
                  <c:v>147702</c:v>
                </c:pt>
                <c:pt idx="29">
                  <c:v>173193</c:v>
                </c:pt>
                <c:pt idx="30">
                  <c:v>192233</c:v>
                </c:pt>
                <c:pt idx="31">
                  <c:v>233556</c:v>
                </c:pt>
                <c:pt idx="32">
                  <c:v>263416</c:v>
                </c:pt>
                <c:pt idx="33">
                  <c:v>287078</c:v>
                </c:pt>
                <c:pt idx="34">
                  <c:v>297901</c:v>
                </c:pt>
                <c:pt idx="35">
                  <c:v>337970</c:v>
                </c:pt>
                <c:pt idx="36">
                  <c:v>335641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6E5-9598-C3E9CB59BD2C}"/>
            </c:ext>
          </c:extLst>
        </c:ser>
        <c:ser>
          <c:idx val="2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Sheet1!$C$6:$C$35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7.6</c:v>
                </c:pt>
                <c:pt idx="4">
                  <c:v>35</c:v>
                </c:pt>
                <c:pt idx="5">
                  <c:v>78</c:v>
                </c:pt>
                <c:pt idx="6">
                  <c:v>210</c:v>
                </c:pt>
                <c:pt idx="7">
                  <c:v>279</c:v>
                </c:pt>
                <c:pt idx="8">
                  <c:v>420</c:v>
                </c:pt>
                <c:pt idx="9">
                  <c:v>1000</c:v>
                </c:pt>
                <c:pt idx="10">
                  <c:v>900</c:v>
                </c:pt>
                <c:pt idx="11">
                  <c:v>700</c:v>
                </c:pt>
                <c:pt idx="12">
                  <c:v>500</c:v>
                </c:pt>
                <c:pt idx="13">
                  <c:v>200</c:v>
                </c:pt>
                <c:pt idx="14">
                  <c:v>200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6E5-9598-C3E9CB59BD2C}"/>
            </c:ext>
          </c:extLst>
        </c:ser>
        <c:ser>
          <c:idx val="3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Sheet1!$D$6:$D$35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372</c:v>
                </c:pt>
                <c:pt idx="10">
                  <c:v>200</c:v>
                </c:pt>
                <c:pt idx="11">
                  <c:v>380</c:v>
                </c:pt>
                <c:pt idx="12">
                  <c:v>550</c:v>
                </c:pt>
                <c:pt idx="13">
                  <c:v>900</c:v>
                </c:pt>
                <c:pt idx="14">
                  <c:v>1100</c:v>
                </c:pt>
                <c:pt idx="15">
                  <c:v>1300</c:v>
                </c:pt>
                <c:pt idx="16">
                  <c:v>2100</c:v>
                </c:pt>
                <c:pt idx="17">
                  <c:v>2500</c:v>
                </c:pt>
                <c:pt idx="18">
                  <c:v>3300</c:v>
                </c:pt>
                <c:pt idx="19">
                  <c:v>3800</c:v>
                </c:pt>
                <c:pt idx="20">
                  <c:v>4120</c:v>
                </c:pt>
                <c:pt idx="21">
                  <c:v>3388</c:v>
                </c:pt>
                <c:pt idx="22">
                  <c:v>2586</c:v>
                </c:pt>
                <c:pt idx="23">
                  <c:v>3072</c:v>
                </c:pt>
                <c:pt idx="24">
                  <c:v>3881</c:v>
                </c:pt>
                <c:pt idx="25">
                  <c:v>3840</c:v>
                </c:pt>
                <c:pt idx="26">
                  <c:v>3174</c:v>
                </c:pt>
                <c:pt idx="27">
                  <c:v>3098</c:v>
                </c:pt>
                <c:pt idx="28">
                  <c:v>3098</c:v>
                </c:pt>
                <c:pt idx="29">
                  <c:v>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B-46E5-9598-C3E9CB59BD2C}"/>
            </c:ext>
          </c:extLst>
        </c:ser>
        <c:ser>
          <c:idx val="4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Sheet1!$E$6:$E$35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200</c:v>
                </c:pt>
                <c:pt idx="12">
                  <c:v>300</c:v>
                </c:pt>
                <c:pt idx="13">
                  <c:v>400</c:v>
                </c:pt>
                <c:pt idx="14">
                  <c:v>600</c:v>
                </c:pt>
                <c:pt idx="15">
                  <c:v>750</c:v>
                </c:pt>
                <c:pt idx="16">
                  <c:v>1035</c:v>
                </c:pt>
                <c:pt idx="17">
                  <c:v>390</c:v>
                </c:pt>
                <c:pt idx="18">
                  <c:v>155</c:v>
                </c:pt>
                <c:pt idx="19">
                  <c:v>50</c:v>
                </c:pt>
                <c:pt idx="20">
                  <c:v>42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B-46E5-9598-C3E9CB59BD2C}"/>
            </c:ext>
          </c:extLst>
        </c:ser>
        <c:ser>
          <c:idx val="5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FCF30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Sheet1!$F$6:$F$35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600</c:v>
                </c:pt>
                <c:pt idx="8">
                  <c:v>500</c:v>
                </c:pt>
                <c:pt idx="9">
                  <c:v>200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7B-46E5-9598-C3E9CB59BD2C}"/>
            </c:ext>
          </c:extLst>
        </c:ser>
        <c:ser>
          <c:idx val="6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Sheet1!$G$6:$G$35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200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120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7B-46E5-9598-C3E9CB59BD2C}"/>
            </c:ext>
          </c:extLst>
        </c:ser>
        <c:ser>
          <c:idx val="7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Sheet1!$H$6:$H$35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200</c:v>
                </c:pt>
                <c:pt idx="8">
                  <c:v>2000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  <c:pt idx="12">
                  <c:v>1500</c:v>
                </c:pt>
                <c:pt idx="13">
                  <c:v>1250</c:v>
                </c:pt>
                <c:pt idx="14">
                  <c:v>1250</c:v>
                </c:pt>
                <c:pt idx="15">
                  <c:v>700</c:v>
                </c:pt>
                <c:pt idx="16">
                  <c:v>800</c:v>
                </c:pt>
                <c:pt idx="17">
                  <c:v>300</c:v>
                </c:pt>
                <c:pt idx="18">
                  <c:v>175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7B-46E5-9598-C3E9CB59BD2C}"/>
            </c:ext>
          </c:extLst>
        </c:ser>
        <c:ser>
          <c:idx val="8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Sheet1!$I$6:$I$35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290</c:v>
                </c:pt>
                <c:pt idx="6">
                  <c:v>250</c:v>
                </c:pt>
                <c:pt idx="7">
                  <c:v>300</c:v>
                </c:pt>
                <c:pt idx="8">
                  <c:v>200</c:v>
                </c:pt>
                <c:pt idx="9">
                  <c:v>50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7B-46E5-9598-C3E9CB59BD2C}"/>
            </c:ext>
          </c:extLst>
        </c:ser>
        <c:ser>
          <c:idx val="9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Sheet1!$J$6:$J$35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10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7B-46E5-9598-C3E9CB59BD2C}"/>
            </c:ext>
          </c:extLst>
        </c:ser>
        <c:ser>
          <c:idx val="10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Sheet1!$A$6:$A$35</c:f>
              <c:numCache>
                <c:formatCode>General</c:formatCode>
                <c:ptCount val="3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</c:numCache>
            </c:numRef>
          </c:cat>
          <c:val>
            <c:numRef>
              <c:f>Sheet1!$L$6:$L$35</c:f>
              <c:numCache>
                <c:formatCode>General</c:formatCode>
                <c:ptCount val="30"/>
                <c:pt idx="0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424</c:v>
                </c:pt>
                <c:pt idx="6">
                  <c:v>605</c:v>
                </c:pt>
                <c:pt idx="7">
                  <c:v>1181</c:v>
                </c:pt>
                <c:pt idx="8">
                  <c:v>500</c:v>
                </c:pt>
                <c:pt idx="9">
                  <c:v>200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7B-46E5-9598-C3E9CB59B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535872"/>
        <c:axId val="1"/>
      </c:areaChart>
      <c:catAx>
        <c:axId val="108253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82535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30875130828891"/>
          <c:y val="0.14560909424855137"/>
          <c:w val="0.21034921854133118"/>
          <c:h val="0.597088864465757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76202985543458E-2"/>
          <c:y val="7.4712538848471663E-2"/>
          <c:w val="0.65888414822208108"/>
          <c:h val="0.78448165790895252"/>
        </c:manualLayout>
      </c:layout>
      <c:areaChart>
        <c:grouping val="stacked"/>
        <c:varyColors val="0"/>
        <c:ser>
          <c:idx val="4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Sheet1!$B$21:$B$25</c:f>
              <c:numCache>
                <c:formatCode>General</c:formatCode>
                <c:ptCount val="5"/>
                <c:pt idx="0">
                  <c:v>16838</c:v>
                </c:pt>
                <c:pt idx="1">
                  <c:v>14399</c:v>
                </c:pt>
                <c:pt idx="2">
                  <c:v>18300</c:v>
                </c:pt>
                <c:pt idx="3">
                  <c:v>27750</c:v>
                </c:pt>
                <c:pt idx="4">
                  <c:v>37200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5-41F1-8AFD-D71FD92A78AB}"/>
            </c:ext>
          </c:extLst>
        </c:ser>
        <c:ser>
          <c:idx val="5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Sheet1!$C$21:$C$25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30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5-41F1-8AFD-D71FD92A78AB}"/>
            </c:ext>
          </c:extLst>
        </c:ser>
        <c:ser>
          <c:idx val="6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Sheet1!$D$21:$D$25</c:f>
              <c:numCache>
                <c:formatCode>General</c:formatCode>
                <c:ptCount val="5"/>
                <c:pt idx="0">
                  <c:v>1300</c:v>
                </c:pt>
                <c:pt idx="1">
                  <c:v>2100</c:v>
                </c:pt>
                <c:pt idx="2">
                  <c:v>2500</c:v>
                </c:pt>
                <c:pt idx="3">
                  <c:v>3300</c:v>
                </c:pt>
                <c:pt idx="4">
                  <c:v>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5-41F1-8AFD-D71FD92A78AB}"/>
            </c:ext>
          </c:extLst>
        </c:ser>
        <c:ser>
          <c:idx val="7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Sheet1!$E$21:$E$25</c:f>
              <c:numCache>
                <c:formatCode>General</c:formatCode>
                <c:ptCount val="5"/>
                <c:pt idx="0">
                  <c:v>750</c:v>
                </c:pt>
                <c:pt idx="1">
                  <c:v>1035</c:v>
                </c:pt>
                <c:pt idx="2">
                  <c:v>390</c:v>
                </c:pt>
                <c:pt idx="3">
                  <c:v>155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85-41F1-8AFD-D71FD92A78AB}"/>
            </c:ext>
          </c:extLst>
        </c:ser>
        <c:ser>
          <c:idx val="8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00ABE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Sheet1!$F$21:$F$25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85-41F1-8AFD-D71FD92A78AB}"/>
            </c:ext>
          </c:extLst>
        </c:ser>
        <c:ser>
          <c:idx val="9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Sheet1!$G$21:$G$25</c:f>
              <c:numCache>
                <c:formatCode>General</c:formatCode>
                <c:ptCount val="5"/>
                <c:pt idx="0">
                  <c:v>300</c:v>
                </c:pt>
                <c:pt idx="1">
                  <c:v>300</c:v>
                </c:pt>
                <c:pt idx="2">
                  <c:v>120</c:v>
                </c:pt>
                <c:pt idx="3">
                  <c:v>30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85-41F1-8AFD-D71FD92A78AB}"/>
            </c:ext>
          </c:extLst>
        </c:ser>
        <c:ser>
          <c:idx val="10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Sheet1!$H$21:$H$25</c:f>
              <c:numCache>
                <c:formatCode>General</c:formatCode>
                <c:ptCount val="5"/>
                <c:pt idx="0">
                  <c:v>700</c:v>
                </c:pt>
                <c:pt idx="1">
                  <c:v>800</c:v>
                </c:pt>
                <c:pt idx="2">
                  <c:v>300</c:v>
                </c:pt>
                <c:pt idx="3">
                  <c:v>175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85-41F1-8AFD-D71FD92A78AB}"/>
            </c:ext>
          </c:extLst>
        </c:ser>
        <c:ser>
          <c:idx val="0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Sheet1!$I$21:$I$25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85-41F1-8AFD-D71FD92A78AB}"/>
            </c:ext>
          </c:extLst>
        </c:ser>
        <c:ser>
          <c:idx val="1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Sheet1!$J$21:$J$25</c:f>
              <c:numCache>
                <c:formatCode>General</c:formatCode>
                <c:ptCount val="5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85-41F1-8AFD-D71FD92A78AB}"/>
            </c:ext>
          </c:extLst>
        </c:ser>
        <c:ser>
          <c:idx val="2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Sheet1!$A$21:$A$25</c:f>
              <c:numCache>
                <c:formatCode>General</c:formatCode>
                <c:ptCount val="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</c:numCache>
            </c:numRef>
          </c:cat>
          <c:val>
            <c:numRef>
              <c:f>Sheet1!$L$21:$L$25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85-41F1-8AFD-D71FD92A7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30496"/>
        <c:axId val="1"/>
      </c:areaChart>
      <c:catAx>
        <c:axId val="109303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304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77977541079256674"/>
          <c:y val="0.28499930234380705"/>
          <c:w val="0.20737762918002769"/>
          <c:h val="0.35498133743890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0359212336814"/>
          <c:y val="7.4712538848471663E-2"/>
          <c:w val="0.64637285258306709"/>
          <c:h val="0.78448165790895252"/>
        </c:manualLayout>
      </c:layout>
      <c:areaChart>
        <c:grouping val="stacked"/>
        <c:varyColors val="0"/>
        <c:ser>
          <c:idx val="4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Sheet1!$B$25:$B$32</c:f>
              <c:numCache>
                <c:formatCode>General</c:formatCode>
                <c:ptCount val="8"/>
                <c:pt idx="0">
                  <c:v>37200</c:v>
                </c:pt>
                <c:pt idx="1">
                  <c:v>45880</c:v>
                </c:pt>
                <c:pt idx="2">
                  <c:v>74612</c:v>
                </c:pt>
                <c:pt idx="3">
                  <c:v>78414</c:v>
                </c:pt>
                <c:pt idx="4">
                  <c:v>96928</c:v>
                </c:pt>
                <c:pt idx="5">
                  <c:v>116119</c:v>
                </c:pt>
                <c:pt idx="6">
                  <c:v>134160</c:v>
                </c:pt>
                <c:pt idx="7">
                  <c:v>124826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F-44D1-8BE8-E34E0C9ABC35}"/>
            </c:ext>
          </c:extLst>
        </c:ser>
        <c:ser>
          <c:idx val="5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Sheet1!$C$25:$C$32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F-44D1-8BE8-E34E0C9ABC35}"/>
            </c:ext>
          </c:extLst>
        </c:ser>
        <c:ser>
          <c:idx val="6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Sheet1!$D$25:$D$32</c:f>
              <c:numCache>
                <c:formatCode>General</c:formatCode>
                <c:ptCount val="8"/>
                <c:pt idx="0">
                  <c:v>3800</c:v>
                </c:pt>
                <c:pt idx="1">
                  <c:v>4120</c:v>
                </c:pt>
                <c:pt idx="2">
                  <c:v>3388</c:v>
                </c:pt>
                <c:pt idx="3">
                  <c:v>2586</c:v>
                </c:pt>
                <c:pt idx="4">
                  <c:v>3072</c:v>
                </c:pt>
                <c:pt idx="5">
                  <c:v>3881</c:v>
                </c:pt>
                <c:pt idx="6">
                  <c:v>3840</c:v>
                </c:pt>
                <c:pt idx="7">
                  <c:v>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F-44D1-8BE8-E34E0C9ABC35}"/>
            </c:ext>
          </c:extLst>
        </c:ser>
        <c:ser>
          <c:idx val="7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Sheet1!$E$25:$E$32</c:f>
              <c:numCache>
                <c:formatCode>General</c:formatCode>
                <c:ptCount val="8"/>
                <c:pt idx="0">
                  <c:v>50</c:v>
                </c:pt>
                <c:pt idx="1">
                  <c:v>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CF-44D1-8BE8-E34E0C9ABC35}"/>
            </c:ext>
          </c:extLst>
        </c:ser>
        <c:ser>
          <c:idx val="8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00ABE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Sheet1!$F$25:$F$32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CF-44D1-8BE8-E34E0C9ABC35}"/>
            </c:ext>
          </c:extLst>
        </c:ser>
        <c:ser>
          <c:idx val="9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Sheet1!$G$25:$G$32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F-44D1-8BE8-E34E0C9ABC35}"/>
            </c:ext>
          </c:extLst>
        </c:ser>
        <c:ser>
          <c:idx val="10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Sheet1!$H$25:$H$32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F-44D1-8BE8-E34E0C9ABC35}"/>
            </c:ext>
          </c:extLst>
        </c:ser>
        <c:ser>
          <c:idx val="0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Sheet1!$I$25:$I$32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CF-44D1-8BE8-E34E0C9ABC35}"/>
            </c:ext>
          </c:extLst>
        </c:ser>
        <c:ser>
          <c:idx val="1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Sheet1!$J$25:$J$32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CF-44D1-8BE8-E34E0C9ABC35}"/>
            </c:ext>
          </c:extLst>
        </c:ser>
        <c:ser>
          <c:idx val="2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Sheet1!$A$25:$A$32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Sheet1!$L$25:$L$32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CF-44D1-8BE8-E34E0C9A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48256"/>
        <c:axId val="1"/>
      </c:areaChart>
      <c:catAx>
        <c:axId val="109304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482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78041518438238966"/>
          <c:y val="0.40569295707303493"/>
          <c:w val="0.20719379824137349"/>
          <c:h val="0.1176509575511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0359212336814"/>
          <c:y val="7.4498515220303527E-2"/>
          <c:w val="0.64637285258306709"/>
          <c:h val="0.78509973732166027"/>
        </c:manualLayout>
      </c:layout>
      <c:areaChart>
        <c:grouping val="stacked"/>
        <c:varyColors val="0"/>
        <c:ser>
          <c:idx val="4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Sheet1!$B$32:$B$35</c:f>
              <c:numCache>
                <c:formatCode>General</c:formatCode>
                <c:ptCount val="4"/>
                <c:pt idx="0">
                  <c:v>124826</c:v>
                </c:pt>
                <c:pt idx="1">
                  <c:v>128902</c:v>
                </c:pt>
                <c:pt idx="2">
                  <c:v>147702</c:v>
                </c:pt>
                <c:pt idx="3">
                  <c:v>173193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D-471F-8517-7D757ACA35E0}"/>
            </c:ext>
          </c:extLst>
        </c:ser>
        <c:ser>
          <c:idx val="5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Sheet1!$C$32:$C$35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D-471F-8517-7D757ACA35E0}"/>
            </c:ext>
          </c:extLst>
        </c:ser>
        <c:ser>
          <c:idx val="6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Sheet1!$D$32:$D$35</c:f>
              <c:numCache>
                <c:formatCode>General</c:formatCode>
                <c:ptCount val="4"/>
                <c:pt idx="0">
                  <c:v>3174</c:v>
                </c:pt>
                <c:pt idx="1">
                  <c:v>3098</c:v>
                </c:pt>
                <c:pt idx="2">
                  <c:v>3098</c:v>
                </c:pt>
                <c:pt idx="3">
                  <c:v>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D-471F-8517-7D757ACA35E0}"/>
            </c:ext>
          </c:extLst>
        </c:ser>
        <c:ser>
          <c:idx val="7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Sheet1!$E$32:$E$35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D-471F-8517-7D757ACA35E0}"/>
            </c:ext>
          </c:extLst>
        </c:ser>
        <c:ser>
          <c:idx val="8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00ABE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Sheet1!$F$32:$F$35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D-471F-8517-7D757ACA35E0}"/>
            </c:ext>
          </c:extLst>
        </c:ser>
        <c:ser>
          <c:idx val="9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Sheet1!$G$32:$G$35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D-471F-8517-7D757ACA35E0}"/>
            </c:ext>
          </c:extLst>
        </c:ser>
        <c:ser>
          <c:idx val="10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Sheet1!$H$32:$H$35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D-471F-8517-7D757ACA35E0}"/>
            </c:ext>
          </c:extLst>
        </c:ser>
        <c:ser>
          <c:idx val="0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Sheet1!$I$32:$I$35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FD-471F-8517-7D757ACA35E0}"/>
            </c:ext>
          </c:extLst>
        </c:ser>
        <c:ser>
          <c:idx val="1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Sheet1!$J$32:$J$35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FD-471F-8517-7D757ACA35E0}"/>
            </c:ext>
          </c:extLst>
        </c:ser>
        <c:ser>
          <c:idx val="2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Sheet1!$A$32:$A$35</c:f>
              <c:numCache>
                <c:formatCode>General</c:formatCode>
                <c:ptCount val="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</c:numCache>
            </c:numRef>
          </c:cat>
          <c:val>
            <c:numRef>
              <c:f>Sheet1!$L$32:$L$35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FD-471F-8517-7D757ACA3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37216"/>
        <c:axId val="1"/>
      </c:areaChart>
      <c:catAx>
        <c:axId val="10930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37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78029155826297036"/>
          <c:y val="0.40892000180063609"/>
          <c:w val="0.20734687101062438"/>
          <c:h val="0.11943703022889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Sheet1!$B$58</c:f>
              <c:strCache>
                <c:ptCount val="1"/>
                <c:pt idx="0">
                  <c:v>Android (Google)</c:v>
                </c:pt>
              </c:strCache>
            </c:strRef>
          </c:tx>
          <c:spPr>
            <a:gradFill rotWithShape="0">
              <a:gsLst>
                <a:gs pos="0">
                  <a:srgbClr val="A2BFF8"/>
                </a:gs>
                <a:gs pos="100000">
                  <a:srgbClr val="3670B6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Sheet1!$B$59:$B$64</c:f>
              <c:numCache>
                <c:formatCode>General</c:formatCode>
                <c:ptCount val="6"/>
                <c:pt idx="2">
                  <c:v>6.8</c:v>
                </c:pt>
                <c:pt idx="3">
                  <c:v>67.22</c:v>
                </c:pt>
                <c:pt idx="4">
                  <c:v>179.87</c:v>
                </c:pt>
                <c:pt idx="5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F-43FA-93F1-44F1B2EAE458}"/>
            </c:ext>
          </c:extLst>
        </c:ser>
        <c:ser>
          <c:idx val="1"/>
          <c:order val="1"/>
          <c:tx>
            <c:strRef>
              <c:f>Sheet1!$C$58</c:f>
              <c:strCache>
                <c:ptCount val="1"/>
                <c:pt idx="0">
                  <c:v>Blackberry (RIM)</c:v>
                </c:pt>
              </c:strCache>
            </c:strRef>
          </c:tx>
          <c:spPr>
            <a:gradFill rotWithShape="0">
              <a:gsLst>
                <a:gs pos="0">
                  <a:srgbClr val="FAA1A0"/>
                </a:gs>
                <a:gs pos="100000">
                  <a:srgbClr val="B93734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Sheet1!$C$59:$C$64</c:f>
              <c:numCache>
                <c:formatCode>General</c:formatCode>
                <c:ptCount val="6"/>
                <c:pt idx="0">
                  <c:v>11.77</c:v>
                </c:pt>
                <c:pt idx="1">
                  <c:v>23.15</c:v>
                </c:pt>
                <c:pt idx="2">
                  <c:v>34.35</c:v>
                </c:pt>
                <c:pt idx="3">
                  <c:v>47.45</c:v>
                </c:pt>
                <c:pt idx="4">
                  <c:v>62.6</c:v>
                </c:pt>
                <c:pt idx="5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F-43FA-93F1-44F1B2EAE458}"/>
            </c:ext>
          </c:extLst>
        </c:ser>
        <c:ser>
          <c:idx val="2"/>
          <c:order val="2"/>
          <c:tx>
            <c:strRef>
              <c:f>Sheet1!$D$58</c:f>
              <c:strCache>
                <c:ptCount val="1"/>
                <c:pt idx="0">
                  <c:v>IPhone (Apple)</c:v>
                </c:pt>
              </c:strCache>
            </c:strRef>
          </c:tx>
          <c:spPr>
            <a:gradFill rotWithShape="0">
              <a:gsLst>
                <a:gs pos="0">
                  <a:srgbClr val="D4F4A6"/>
                </a:gs>
                <a:gs pos="100000">
                  <a:srgbClr val="8DB241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Sheet1!$D$59:$D$64</c:f>
              <c:numCache>
                <c:formatCode>General</c:formatCode>
                <c:ptCount val="6"/>
                <c:pt idx="0">
                  <c:v>3.3</c:v>
                </c:pt>
                <c:pt idx="1">
                  <c:v>11.42</c:v>
                </c:pt>
                <c:pt idx="2">
                  <c:v>24.89</c:v>
                </c:pt>
                <c:pt idx="3">
                  <c:v>46.6</c:v>
                </c:pt>
                <c:pt idx="4">
                  <c:v>90.56</c:v>
                </c:pt>
                <c:pt idx="5">
                  <c:v>132.47999999999999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3F-43FA-93F1-44F1B2EAE458}"/>
            </c:ext>
          </c:extLst>
        </c:ser>
        <c:ser>
          <c:idx val="3"/>
          <c:order val="3"/>
          <c:tx>
            <c:strRef>
              <c:f>Sheet1!$E$58</c:f>
              <c:strCache>
                <c:ptCount val="1"/>
                <c:pt idx="0">
                  <c:v>Linux</c:v>
                </c:pt>
              </c:strCache>
            </c:strRef>
          </c:tx>
          <c:spPr>
            <a:gradFill rotWithShape="0">
              <a:gsLst>
                <a:gs pos="0">
                  <a:srgbClr val="C5B3E2"/>
                </a:gs>
                <a:gs pos="100000">
                  <a:srgbClr val="704F97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Sheet1!$E$59:$E$64</c:f>
              <c:numCache>
                <c:formatCode>General</c:formatCode>
                <c:ptCount val="6"/>
                <c:pt idx="0">
                  <c:v>11.76</c:v>
                </c:pt>
                <c:pt idx="1">
                  <c:v>11.26</c:v>
                </c:pt>
                <c:pt idx="2">
                  <c:v>8.1300000000000008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3F-43FA-93F1-44F1B2EAE458}"/>
            </c:ext>
          </c:extLst>
        </c:ser>
        <c:ser>
          <c:idx val="4"/>
          <c:order val="4"/>
          <c:tx>
            <c:strRef>
              <c:f>Sheet1!$F$58</c:f>
              <c:strCache>
                <c:ptCount val="1"/>
                <c:pt idx="0">
                  <c:v>Palm/WebOS (Palm/HP)</c:v>
                </c:pt>
              </c:strCache>
            </c:strRef>
          </c:tx>
          <c:spPr>
            <a:gradFill rotWithShape="0">
              <a:gsLst>
                <a:gs pos="0">
                  <a:srgbClr val="9DE2FF"/>
                </a:gs>
                <a:gs pos="100000">
                  <a:srgbClr val="31A1C0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Sheet1!$F$59:$F$64</c:f>
              <c:numCache>
                <c:formatCode>General</c:formatCode>
                <c:ptCount val="6"/>
                <c:pt idx="0">
                  <c:v>1.76</c:v>
                </c:pt>
                <c:pt idx="1">
                  <c:v>2.5099999999999998</c:v>
                </c:pt>
                <c:pt idx="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F-43FA-93F1-44F1B2EAE458}"/>
            </c:ext>
          </c:extLst>
        </c:ser>
        <c:ser>
          <c:idx val="5"/>
          <c:order val="5"/>
          <c:tx>
            <c:strRef>
              <c:f>Sheet1!$G$58</c:f>
              <c:strCache>
                <c:ptCount val="1"/>
                <c:pt idx="0">
                  <c:v>Symbian (Nokia)</c:v>
                </c:pt>
              </c:strCache>
            </c:strRef>
          </c:tx>
          <c:spPr>
            <a:gradFill rotWithShape="0">
              <a:gsLst>
                <a:gs pos="0">
                  <a:srgbClr val="FFB885"/>
                </a:gs>
                <a:gs pos="100000">
                  <a:srgbClr val="F28225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Sheet1!$G$59:$G$64</c:f>
              <c:numCache>
                <c:formatCode>General</c:formatCode>
                <c:ptCount val="6"/>
                <c:pt idx="0">
                  <c:v>77.680000000000007</c:v>
                </c:pt>
                <c:pt idx="1">
                  <c:v>72.930000000000007</c:v>
                </c:pt>
                <c:pt idx="2">
                  <c:v>80.88</c:v>
                </c:pt>
                <c:pt idx="3">
                  <c:v>111.58</c:v>
                </c:pt>
                <c:pt idx="4">
                  <c:v>89.93</c:v>
                </c:pt>
                <c:pt idx="5">
                  <c:v>49.863999999999997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3F-43FA-93F1-44F1B2EAE458}"/>
            </c:ext>
          </c:extLst>
        </c:ser>
        <c:ser>
          <c:idx val="6"/>
          <c:order val="6"/>
          <c:tx>
            <c:strRef>
              <c:f>Sheet1!$H$58</c:f>
              <c:strCache>
                <c:ptCount val="1"/>
                <c:pt idx="0">
                  <c:v>Windows Mobile/Phone (Microsoft)</c:v>
                </c:pt>
              </c:strCache>
            </c:strRef>
          </c:tx>
          <c:spPr>
            <a:solidFill>
              <a:srgbClr val="93A9CF"/>
            </a:solidFill>
            <a:ln w="25400">
              <a:noFill/>
            </a:ln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Sheet1!$H$59:$H$64</c:f>
              <c:numCache>
                <c:formatCode>General</c:formatCode>
                <c:ptCount val="6"/>
                <c:pt idx="0">
                  <c:v>14.7</c:v>
                </c:pt>
                <c:pt idx="1">
                  <c:v>16.5</c:v>
                </c:pt>
                <c:pt idx="2">
                  <c:v>15.03</c:v>
                </c:pt>
                <c:pt idx="3">
                  <c:v>12.38</c:v>
                </c:pt>
                <c:pt idx="4">
                  <c:v>26.35</c:v>
                </c:pt>
                <c:pt idx="5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3F-43FA-93F1-44F1B2EAE458}"/>
            </c:ext>
          </c:extLst>
        </c:ser>
        <c:ser>
          <c:idx val="7"/>
          <c:order val="7"/>
          <c:tx>
            <c:strRef>
              <c:f>Sheet1!$I$58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D19392"/>
            </a:solidFill>
            <a:ln w="25400">
              <a:noFill/>
            </a:ln>
          </c:spPr>
          <c:cat>
            <c:numRef>
              <c:f>Sheet1!$A$59:$A$64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Sheet1!$I$59:$I$64</c:f>
              <c:numCache>
                <c:formatCode>General</c:formatCode>
                <c:ptCount val="6"/>
                <c:pt idx="4">
                  <c:v>18.39</c:v>
                </c:pt>
                <c:pt idx="5">
                  <c:v>4.968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3F-43FA-93F1-44F1B2EA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56416"/>
        <c:axId val="1"/>
      </c:areaChart>
      <c:catAx>
        <c:axId val="109305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930564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550923282352048"/>
          <c:y val="0.33019889554427267"/>
          <c:w val="0.20360296549881929"/>
          <c:h val="0.345293702197725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0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val>
            <c:numRef>
              <c:f>Sheet1!$B$93:$C$93</c:f>
              <c:numCache>
                <c:formatCode>#,##0</c:formatCode>
                <c:ptCount val="2"/>
                <c:pt idx="0">
                  <c:v>2512</c:v>
                </c:pt>
                <c:pt idx="1">
                  <c:v>14685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5-4E7F-B30E-BF0058A3B29E}"/>
            </c:ext>
          </c:extLst>
        </c:ser>
        <c:ser>
          <c:idx val="4"/>
          <c:order val="1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val>
            <c:numRef>
              <c:f>Sheet1!$B$94:$C$94</c:f>
              <c:numCache>
                <c:formatCode>#,##0</c:formatCode>
                <c:ptCount val="2"/>
                <c:pt idx="0">
                  <c:v>14685</c:v>
                </c:pt>
                <c:pt idx="1">
                  <c:v>46697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5-4E7F-B30E-BF0058A3B29E}"/>
            </c:ext>
          </c:extLst>
        </c:ser>
        <c:ser>
          <c:idx val="5"/>
          <c:order val="2"/>
          <c:tx>
            <c:strRef>
              <c:f>Sheet1!$A$95</c:f>
              <c:strCache>
                <c:ptCount val="1"/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val>
            <c:numRef>
              <c:f>Sheet1!$B$95:$C$95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F585-4E7F-B30E-BF0058A3B29E}"/>
            </c:ext>
          </c:extLst>
        </c:ser>
        <c:ser>
          <c:idx val="6"/>
          <c:order val="3"/>
          <c:tx>
            <c:strRef>
              <c:f>Sheet1!$A$96</c:f>
              <c:strCache>
                <c:ptCount val="1"/>
              </c:strCache>
            </c:strRef>
          </c:tx>
          <c:spPr>
            <a:solidFill>
              <a:srgbClr val="93A9CF"/>
            </a:solidFill>
            <a:ln w="25400">
              <a:noFill/>
            </a:ln>
          </c:spPr>
          <c:val>
            <c:numRef>
              <c:f>Sheet1!$B$96:$C$96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F585-4E7F-B30E-BF0058A3B29E}"/>
            </c:ext>
          </c:extLst>
        </c:ser>
        <c:ser>
          <c:idx val="7"/>
          <c:order val="4"/>
          <c:tx>
            <c:strRef>
              <c:f>Sheet1!$A$97</c:f>
              <c:strCache>
                <c:ptCount val="1"/>
              </c:strCache>
            </c:strRef>
          </c:tx>
          <c:spPr>
            <a:solidFill>
              <a:srgbClr val="D19392"/>
            </a:solidFill>
            <a:ln w="25400">
              <a:noFill/>
            </a:ln>
          </c:spPr>
          <c:val>
            <c:numRef>
              <c:f>Sheet1!$B$97:$C$97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585-4E7F-B30E-BF0058A3B29E}"/>
            </c:ext>
          </c:extLst>
        </c:ser>
        <c:ser>
          <c:idx val="0"/>
          <c:order val="5"/>
          <c:tx>
            <c:strRef>
              <c:f>Sheet1!$A$98</c:f>
              <c:strCache>
                <c:ptCount val="1"/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val>
            <c:numRef>
              <c:f>Sheet1!$B$98:$C$98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585-4E7F-B30E-BF0058A3B29E}"/>
            </c:ext>
          </c:extLst>
        </c:ser>
        <c:ser>
          <c:idx val="1"/>
          <c:order val="6"/>
          <c:tx>
            <c:strRef>
              <c:f>Sheet1!$A$99</c:f>
              <c:strCache>
                <c:ptCount val="1"/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val>
            <c:numRef>
              <c:f>Sheet1!$B$99:$C$99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F585-4E7F-B30E-BF0058A3B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62656"/>
        <c:axId val="1"/>
      </c:areaChart>
      <c:catAx>
        <c:axId val="109306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9306265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6978549553559781"/>
          <c:y val="0.23501616316486745"/>
          <c:w val="0.10927508129190885"/>
          <c:h val="0.541347575841832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Sheet1!$B$92</c:f>
              <c:strCache>
                <c:ptCount val="1"/>
                <c:pt idx="0">
                  <c:v>Android</c:v>
                </c:pt>
              </c:strCache>
            </c:strRef>
          </c:tx>
          <c:spPr>
            <a:gradFill rotWithShape="0">
              <a:gsLst>
                <a:gs pos="0">
                  <a:srgbClr val="FAA1A0"/>
                </a:gs>
                <a:gs pos="100000">
                  <a:srgbClr val="B93734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val>
            <c:numRef>
              <c:f>Sheet1!$B$93:$B$94</c:f>
              <c:numCache>
                <c:formatCode>#,##0</c:formatCode>
                <c:ptCount val="2"/>
                <c:pt idx="0">
                  <c:v>2512</c:v>
                </c:pt>
                <c:pt idx="1">
                  <c:v>14685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D-4B99-A5B3-9789ED191265}"/>
            </c:ext>
          </c:extLst>
        </c:ser>
        <c:ser>
          <c:idx val="2"/>
          <c:order val="1"/>
          <c:tx>
            <c:strRef>
              <c:f>Sheet1!$C$92</c:f>
              <c:strCache>
                <c:ptCount val="1"/>
                <c:pt idx="0">
                  <c:v>iOS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val>
            <c:numRef>
              <c:f>Sheet1!$C$93:$C$94</c:f>
              <c:numCache>
                <c:formatCode>#,##0</c:formatCode>
                <c:ptCount val="2"/>
                <c:pt idx="0">
                  <c:v>14685</c:v>
                </c:pt>
                <c:pt idx="1">
                  <c:v>46697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7D-4B99-A5B3-9789ED191265}"/>
            </c:ext>
          </c:extLst>
        </c:ser>
        <c:ser>
          <c:idx val="3"/>
          <c:order val="2"/>
          <c:tx>
            <c:strRef>
              <c:f>Sheet1!$D$92</c:f>
              <c:strCache>
                <c:ptCount val="1"/>
                <c:pt idx="0">
                  <c:v>MeeGo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val>
            <c:numRef>
              <c:f>Sheet1!$D$93:$D$94</c:f>
              <c:numCache>
                <c:formatCode>#,##0</c:formatCode>
                <c:ptCount val="2"/>
                <c:pt idx="0" formatCode="General">
                  <c:v>179</c:v>
                </c:pt>
                <c:pt idx="1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7D-4B99-A5B3-9789ED191265}"/>
            </c:ext>
          </c:extLst>
        </c:ser>
        <c:ser>
          <c:idx val="4"/>
          <c:order val="3"/>
          <c:tx>
            <c:strRef>
              <c:f>Sheet1!$E$92</c:f>
              <c:strCache>
                <c:ptCount val="1"/>
                <c:pt idx="0">
                  <c:v>Microsoft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val>
            <c:numRef>
              <c:f>Sheet1!$E$93:$E$94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7D-4B99-A5B3-9789ED191265}"/>
            </c:ext>
          </c:extLst>
        </c:ser>
        <c:ser>
          <c:idx val="5"/>
          <c:order val="4"/>
          <c:tx>
            <c:strRef>
              <c:f>Sheet1!$F$92</c:f>
              <c:strCache>
                <c:ptCount val="1"/>
                <c:pt idx="0">
                  <c:v>QNX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val>
            <c:numRef>
              <c:f>Sheet1!$F$93:$F$94</c:f>
              <c:numCache>
                <c:formatCode>#,##0</c:formatCode>
                <c:ptCount val="2"/>
                <c:pt idx="0">
                  <c:v>0</c:v>
                </c:pt>
                <c:pt idx="1">
                  <c:v>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D-4B99-A5B3-9789ED191265}"/>
            </c:ext>
          </c:extLst>
        </c:ser>
        <c:ser>
          <c:idx val="6"/>
          <c:order val="5"/>
          <c:tx>
            <c:strRef>
              <c:f>Sheet1!$G$92</c:f>
              <c:strCache>
                <c:ptCount val="1"/>
                <c:pt idx="0">
                  <c:v>WebOS</c:v>
                </c:pt>
              </c:strCache>
            </c:strRef>
          </c:tx>
          <c:spPr>
            <a:solidFill>
              <a:srgbClr val="93A9CF"/>
            </a:solidFill>
            <a:ln w="25400">
              <a:noFill/>
            </a:ln>
          </c:spPr>
          <c:val>
            <c:numRef>
              <c:f>Sheet1!$G$93:$G$94</c:f>
              <c:numCache>
                <c:formatCode>#,##0</c:formatCode>
                <c:ptCount val="2"/>
                <c:pt idx="0">
                  <c:v>0</c:v>
                </c:pt>
                <c:pt idx="1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7D-4B99-A5B3-9789ED191265}"/>
            </c:ext>
          </c:extLst>
        </c:ser>
        <c:ser>
          <c:idx val="7"/>
          <c:order val="6"/>
          <c:tx>
            <c:strRef>
              <c:f>Sheet1!$H$92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19392"/>
            </a:solidFill>
            <a:ln w="25400">
              <a:noFill/>
            </a:ln>
          </c:spPr>
          <c:val>
            <c:numRef>
              <c:f>Sheet1!$H$93:$H$94</c:f>
              <c:numCache>
                <c:formatCode>#,##0</c:formatCode>
                <c:ptCount val="2"/>
                <c:pt idx="0">
                  <c:v>235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7D-4B99-A5B3-9789ED19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500480"/>
        <c:axId val="1"/>
      </c:areaChart>
      <c:catAx>
        <c:axId val="109450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9450048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730237450039778"/>
          <c:y val="0.23203339458759489"/>
          <c:w val="0.16279600142487599"/>
          <c:h val="0.54576868867786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Personal computer market share: 1975-1980</a:t>
            </a:r>
          </a:p>
        </c:rich>
      </c:tx>
      <c:layout>
        <c:manualLayout>
          <c:xMode val="edge"/>
          <c:yMode val="edge"/>
          <c:x val="1.3559433597446087E-2"/>
          <c:y val="3.375524934383201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1"/>
          <c:order val="0"/>
          <c:tx>
            <c:strRef>
              <c:f>Sheet1!$W$5</c:f>
              <c:strCache>
                <c:ptCount val="1"/>
                <c:pt idx="0">
                  <c:v>PET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1.7297295334065932E-2"/>
                </c:manualLayout>
              </c:layout>
              <c:spPr/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C6-4134-9403-12B2B462BD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Sheet1!$V$6:$V$11</c:f>
              <c:numCache>
                <c:formatCode>General</c:formatCode>
                <c:ptCount val="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</c:numCache>
            </c:numRef>
          </c:cat>
          <c:val>
            <c:numRef>
              <c:f>Sheet1!$W$6:$W$11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2.666666666666667</c:v>
                </c:pt>
                <c:pt idx="3">
                  <c:v>11.627906976744185</c:v>
                </c:pt>
                <c:pt idx="4">
                  <c:v>7.7586206896551726</c:v>
                </c:pt>
                <c:pt idx="5">
                  <c:v>12.430939226519337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6-4134-9403-12B2B462BDED}"/>
            </c:ext>
          </c:extLst>
        </c:ser>
        <c:ser>
          <c:idx val="2"/>
          <c:order val="1"/>
          <c:tx>
            <c:strRef>
              <c:f>Sheet1!$X$5</c:f>
              <c:strCache>
                <c:ptCount val="1"/>
                <c:pt idx="0">
                  <c:v>TRS-80</c:v>
                </c:pt>
              </c:strCache>
            </c:strRef>
          </c:tx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C6-4134-9403-12B2B462BD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Sheet1!$V$6:$V$11</c:f>
              <c:numCache>
                <c:formatCode>General</c:formatCode>
                <c:ptCount val="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</c:numCache>
            </c:numRef>
          </c:cat>
          <c:val>
            <c:numRef>
              <c:f>Sheet1!$X$6:$X$11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66.666666666666657</c:v>
                </c:pt>
                <c:pt idx="3">
                  <c:v>58.139534883720934</c:v>
                </c:pt>
                <c:pt idx="4">
                  <c:v>34.482758620689658</c:v>
                </c:pt>
                <c:pt idx="5">
                  <c:v>40.055248618784525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6-4134-9403-12B2B462BDED}"/>
            </c:ext>
          </c:extLst>
        </c:ser>
        <c:ser>
          <c:idx val="3"/>
          <c:order val="2"/>
          <c:tx>
            <c:strRef>
              <c:f>Sheet1!$Y$5</c:f>
              <c:strCache>
                <c:ptCount val="1"/>
                <c:pt idx="0">
                  <c:v>Atari 400/800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6-4134-9403-12B2B462BD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Sheet1!$V$6:$V$11</c:f>
              <c:numCache>
                <c:formatCode>General</c:formatCode>
                <c:ptCount val="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</c:numCache>
            </c:numRef>
          </c:cat>
          <c:val>
            <c:numRef>
              <c:f>Sheet1!$Y$6:$Y$11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17.241379310344829</c:v>
                </c:pt>
                <c:pt idx="5">
                  <c:v>27.624309392265197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6-4134-9403-12B2B462BDED}"/>
            </c:ext>
          </c:extLst>
        </c:ser>
        <c:ser>
          <c:idx val="4"/>
          <c:order val="3"/>
          <c:tx>
            <c:strRef>
              <c:f>Sheet1!$Z$5</c:f>
              <c:strCache>
                <c:ptCount val="1"/>
                <c:pt idx="0">
                  <c:v>Altair</c:v>
                </c:pt>
              </c:strCache>
            </c:strRef>
          </c:tx>
          <c:marker>
            <c:symbol val="none"/>
          </c:marker>
          <c:dLbls>
            <c:dLbl>
              <c:idx val="5"/>
              <c:layout>
                <c:manualLayout>
                  <c:x val="-0.64067062508027151"/>
                  <c:y val="-0.71778264403340108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C6-4134-9403-12B2B462BD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Sheet1!$V$6:$V$11</c:f>
              <c:numCache>
                <c:formatCode>General</c:formatCode>
                <c:ptCount val="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</c:numCache>
            </c:numRef>
          </c:cat>
          <c:val>
            <c:numRef>
              <c:f>Sheet1!$Z$6:$Z$11</c:f>
              <c:numCache>
                <c:formatCode>0.00</c:formatCode>
                <c:ptCount val="6"/>
                <c:pt idx="0">
                  <c:v>100</c:v>
                </c:pt>
                <c:pt idx="1">
                  <c:v>13.043478260869565</c:v>
                </c:pt>
                <c:pt idx="2">
                  <c:v>6.666666666666667</c:v>
                </c:pt>
                <c:pt idx="3">
                  <c:v>1.5503875968992249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C6-4134-9403-12B2B462BDED}"/>
            </c:ext>
          </c:extLst>
        </c:ser>
        <c:ser>
          <c:idx val="5"/>
          <c:order val="4"/>
          <c:tx>
            <c:strRef>
              <c:f>Sheet1!$AA$5</c:f>
              <c:strCache>
                <c:ptCount val="1"/>
                <c:pt idx="0">
                  <c:v>Apple II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6-4134-9403-12B2B462BD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Sheet1!$V$6:$V$11</c:f>
              <c:numCache>
                <c:formatCode>General</c:formatCode>
                <c:ptCount val="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</c:numCache>
            </c:numRef>
          </c:cat>
          <c:val>
            <c:numRef>
              <c:f>Sheet1!$AA$6:$AA$11</c:f>
              <c:numCache>
                <c:formatCode>0.00</c:formatCode>
                <c:ptCount val="6"/>
                <c:pt idx="2">
                  <c:v>0.4</c:v>
                </c:pt>
                <c:pt idx="3">
                  <c:v>2.9457364341085297</c:v>
                </c:pt>
                <c:pt idx="4">
                  <c:v>6.0344827586206895</c:v>
                </c:pt>
                <c:pt idx="5">
                  <c:v>10.773480662983401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C6-4134-9403-12B2B462BDED}"/>
            </c:ext>
          </c:extLst>
        </c:ser>
        <c:ser>
          <c:idx val="6"/>
          <c:order val="5"/>
          <c:tx>
            <c:strRef>
              <c:f>Sheet1!$AB$5</c:f>
              <c:strCache>
                <c:ptCount val="1"/>
                <c:pt idx="0">
                  <c:v>Others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C6-4134-9403-12B2B462BD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Sheet1!$V$6:$V$11</c:f>
              <c:numCache>
                <c:formatCode>General</c:formatCode>
                <c:ptCount val="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</c:numCache>
            </c:numRef>
          </c:cat>
          <c:val>
            <c:numRef>
              <c:f>Sheet1!$AB$6:$AB$11</c:f>
              <c:numCache>
                <c:formatCode>0.00</c:formatCode>
                <c:ptCount val="6"/>
                <c:pt idx="0">
                  <c:v>0</c:v>
                </c:pt>
                <c:pt idx="1">
                  <c:v>86.956521739130437</c:v>
                </c:pt>
                <c:pt idx="2">
                  <c:v>33.333333333333329</c:v>
                </c:pt>
                <c:pt idx="3">
                  <c:v>38.759689922480625</c:v>
                </c:pt>
                <c:pt idx="4">
                  <c:v>34.482758620689658</c:v>
                </c:pt>
                <c:pt idx="5">
                  <c:v>58.563535911602202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C6-4134-9403-12B2B462B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4986752"/>
        <c:axId val="1"/>
      </c:lineChart>
      <c:catAx>
        <c:axId val="10949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94986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Personal computer market share: 1981-1986</a:t>
            </a:r>
          </a:p>
        </c:rich>
      </c:tx>
      <c:layout>
        <c:manualLayout>
          <c:xMode val="edge"/>
          <c:yMode val="edge"/>
          <c:x val="1.3559433597446087E-2"/>
          <c:y val="3.375524934383201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1"/>
          <c:order val="0"/>
          <c:tx>
            <c:strRef>
              <c:f>Sheet1!$W$5</c:f>
              <c:strCache>
                <c:ptCount val="1"/>
                <c:pt idx="0">
                  <c:v>PET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Sheet1!$W$12:$W$17</c:f>
              <c:numCache>
                <c:formatCode>0.00</c:formatCode>
                <c:ptCount val="6"/>
                <c:pt idx="0">
                  <c:v>2.8571428571428572</c:v>
                </c:pt>
                <c:pt idx="1">
                  <c:v>0.35714285714285715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4-4F35-80BF-1DF0663CC381}"/>
            </c:ext>
          </c:extLst>
        </c:ser>
        <c:ser>
          <c:idx val="2"/>
          <c:order val="1"/>
          <c:tx>
            <c:strRef>
              <c:f>Sheet1!$X$5</c:f>
              <c:strCache>
                <c:ptCount val="1"/>
                <c:pt idx="0">
                  <c:v>TRS-80</c:v>
                </c:pt>
              </c:strCache>
            </c:strRef>
          </c:tx>
          <c:marker>
            <c:symbol val="none"/>
          </c:marker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Sheet1!$X$12:$X$17</c:f>
              <c:numCache>
                <c:formatCode>0.00</c:formatCode>
                <c:ptCount val="6"/>
                <c:pt idx="0">
                  <c:v>17.857142857142858</c:v>
                </c:pt>
                <c:pt idx="1">
                  <c:v>10.714285714285714</c:v>
                </c:pt>
                <c:pt idx="2">
                  <c:v>4.0650406504065035</c:v>
                </c:pt>
                <c:pt idx="3">
                  <c:v>0.7908889591901298</c:v>
                </c:pt>
                <c:pt idx="4">
                  <c:v>0.13140604467805519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4-4F35-80BF-1DF0663CC381}"/>
            </c:ext>
          </c:extLst>
        </c:ser>
        <c:ser>
          <c:idx val="3"/>
          <c:order val="2"/>
          <c:tx>
            <c:strRef>
              <c:f>Sheet1!$Y$5</c:f>
              <c:strCache>
                <c:ptCount val="1"/>
                <c:pt idx="0">
                  <c:v>Atari 400/800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Sheet1!$Y$12:$Y$17</c:f>
              <c:numCache>
                <c:formatCode>0.00</c:formatCode>
                <c:ptCount val="6"/>
                <c:pt idx="0">
                  <c:v>21.428571428571427</c:v>
                </c:pt>
                <c:pt idx="1">
                  <c:v>21.428571428571427</c:v>
                </c:pt>
                <c:pt idx="2">
                  <c:v>10.16260162601626</c:v>
                </c:pt>
                <c:pt idx="3">
                  <c:v>3.1635558367605192</c:v>
                </c:pt>
                <c:pt idx="4">
                  <c:v>1.3140604467805519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44-4F35-80BF-1DF0663CC381}"/>
            </c:ext>
          </c:extLst>
        </c:ser>
        <c:ser>
          <c:idx val="4"/>
          <c:order val="3"/>
          <c:tx>
            <c:strRef>
              <c:f>Sheet1!$Z$5</c:f>
              <c:strCache>
                <c:ptCount val="1"/>
                <c:pt idx="0">
                  <c:v>Altair</c:v>
                </c:pt>
              </c:strCache>
            </c:strRef>
          </c:tx>
          <c:marker>
            <c:symbol val="none"/>
          </c:marker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Sheet1!$Z$12:$Z$17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44-4F35-80BF-1DF0663CC381}"/>
            </c:ext>
          </c:extLst>
        </c:ser>
        <c:ser>
          <c:idx val="5"/>
          <c:order val="4"/>
          <c:tx>
            <c:strRef>
              <c:f>Sheet1!$AA$5</c:f>
              <c:strCache>
                <c:ptCount val="1"/>
                <c:pt idx="0">
                  <c:v>Apple II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336902886044396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44-4F35-80BF-1DF0663CC3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Sheet1!$AA$12:$AA$17</c:f>
              <c:numCache>
                <c:formatCode>0.00</c:formatCode>
                <c:ptCount val="6"/>
                <c:pt idx="0">
                  <c:v>15</c:v>
                </c:pt>
                <c:pt idx="1">
                  <c:v>9.96428571428571</c:v>
                </c:pt>
                <c:pt idx="2">
                  <c:v>8.5365853658536608</c:v>
                </c:pt>
                <c:pt idx="3">
                  <c:v>15.8177791838026</c:v>
                </c:pt>
                <c:pt idx="4">
                  <c:v>11.826544021025001</c:v>
                </c:pt>
                <c:pt idx="5">
                  <c:v>7.7777777777777803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44-4F35-80BF-1DF0663CC381}"/>
            </c:ext>
          </c:extLst>
        </c:ser>
        <c:ser>
          <c:idx val="6"/>
          <c:order val="5"/>
          <c:tx>
            <c:strRef>
              <c:f>Sheet1!$AB$5</c:f>
              <c:strCache>
                <c:ptCount val="1"/>
                <c:pt idx="0">
                  <c:v>Others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Sheet1!$AB$12:$AB$17</c:f>
              <c:numCache>
                <c:formatCode>0.00</c:formatCode>
                <c:ptCount val="6"/>
                <c:pt idx="0">
                  <c:v>43.214285714285715</c:v>
                </c:pt>
                <c:pt idx="1">
                  <c:v>42.178571428571423</c:v>
                </c:pt>
                <c:pt idx="2">
                  <c:v>10.16260162601626</c:v>
                </c:pt>
                <c:pt idx="3">
                  <c:v>3.1635558367605192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44-4F35-80BF-1DF0663CC381}"/>
            </c:ext>
          </c:extLst>
        </c:ser>
        <c:ser>
          <c:idx val="0"/>
          <c:order val="6"/>
          <c:tx>
            <c:strRef>
              <c:f>Sheet1!$AC$5</c:f>
              <c:strCache>
                <c:ptCount val="1"/>
                <c:pt idx="0">
                  <c:v>Commodore 64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44-4F35-80BF-1DF0663CC3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Sheet1!$AC$12:$AC$17</c:f>
              <c:numCache>
                <c:formatCode>General</c:formatCode>
                <c:ptCount val="6"/>
                <c:pt idx="0">
                  <c:v>0</c:v>
                </c:pt>
                <c:pt idx="1">
                  <c:v>7.1428571428571423</c:v>
                </c:pt>
                <c:pt idx="2">
                  <c:v>40.650406504065039</c:v>
                </c:pt>
                <c:pt idx="3">
                  <c:v>39.544447959506485</c:v>
                </c:pt>
                <c:pt idx="4">
                  <c:v>32.851511169513799</c:v>
                </c:pt>
                <c:pt idx="5">
                  <c:v>27.777777777777779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44-4F35-80BF-1DF0663CC381}"/>
            </c:ext>
          </c:extLst>
        </c:ser>
        <c:ser>
          <c:idx val="7"/>
          <c:order val="7"/>
          <c:tx>
            <c:strRef>
              <c:f>Sheet1!$AD$5</c:f>
              <c:strCache>
                <c:ptCount val="1"/>
                <c:pt idx="0">
                  <c:v>Macintosh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2441E-3"/>
                  <c:y val="-1.817591133590076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44-4F35-80BF-1DF0663CC3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Sheet1!$AD$12:$AD$17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5.884213856374565</c:v>
                </c:pt>
                <c:pt idx="4">
                  <c:v>2.6281208935611038</c:v>
                </c:pt>
                <c:pt idx="5">
                  <c:v>4.2222222222222223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44-4F35-80BF-1DF0663CC381}"/>
            </c:ext>
          </c:extLst>
        </c:ser>
        <c:ser>
          <c:idx val="8"/>
          <c:order val="8"/>
          <c:tx>
            <c:strRef>
              <c:f>Sheet1!$AE$5</c:f>
              <c:strCache>
                <c:ptCount val="1"/>
                <c:pt idx="0">
                  <c:v>Amiga</c:v>
                </c:pt>
              </c:strCache>
            </c:strRef>
          </c:tx>
          <c:marker>
            <c:symbol val="none"/>
          </c:marker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Sheet1!$AE$12:$AE$17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1.3140604467805519</c:v>
                </c:pt>
                <c:pt idx="5">
                  <c:v>2.2222222222222223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E44-4F35-80BF-1DF0663CC381}"/>
            </c:ext>
          </c:extLst>
        </c:ser>
        <c:ser>
          <c:idx val="9"/>
          <c:order val="9"/>
          <c:tx>
            <c:strRef>
              <c:f>Sheet1!$AF$5</c:f>
              <c:strCache>
                <c:ptCount val="1"/>
                <c:pt idx="0">
                  <c:v>Atari ST</c:v>
                </c:pt>
              </c:strCache>
            </c:strRef>
          </c:tx>
          <c:marker>
            <c:symbol val="none"/>
          </c:marker>
          <c:dLbls>
            <c:dLbl>
              <c:idx val="5"/>
              <c:layout>
                <c:manualLayout>
                  <c:x val="-1.6729401923881221E-3"/>
                  <c:y val="-5.193117524543103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44-4F35-80BF-1DF0663CC3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Sheet1!$AF$12:$AF$17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1.3140604467805519</c:v>
                </c:pt>
                <c:pt idx="5">
                  <c:v>2.2222222222222223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E44-4F35-80BF-1DF0663CC381}"/>
            </c:ext>
          </c:extLst>
        </c:ser>
        <c:ser>
          <c:idx val="10"/>
          <c:order val="10"/>
          <c:tx>
            <c:strRef>
              <c:f>Sheet1!$AG$5</c:f>
              <c:strCache>
                <c:ptCount val="1"/>
                <c:pt idx="0">
                  <c:v>IBM PC + clones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44-4F35-80BF-1DF0663CC3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Sheet1!$V$12:$V$17</c:f>
              <c:numCache>
                <c:formatCode>General</c:formatCode>
                <c:ptCount val="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</c:numCache>
            </c:numRef>
          </c:cat>
          <c:val>
            <c:numRef>
              <c:f>Sheet1!$AG$12:$AG$17</c:f>
              <c:numCache>
                <c:formatCode>General</c:formatCode>
                <c:ptCount val="6"/>
                <c:pt idx="0">
                  <c:v>2.5</c:v>
                </c:pt>
                <c:pt idx="1">
                  <c:v>8.5714285714285712</c:v>
                </c:pt>
                <c:pt idx="2">
                  <c:v>26.422764227642276</c:v>
                </c:pt>
                <c:pt idx="3">
                  <c:v>31.635558367605189</c:v>
                </c:pt>
                <c:pt idx="4">
                  <c:v>48.620236530880426</c:v>
                </c:pt>
                <c:pt idx="5">
                  <c:v>55.777777777777779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E44-4F35-80BF-1DF0663C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994624"/>
        <c:axId val="1"/>
      </c:lineChart>
      <c:catAx>
        <c:axId val="1092994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92994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Personal computer market share: 1987-1992</a:t>
            </a:r>
          </a:p>
        </c:rich>
      </c:tx>
      <c:layout>
        <c:manualLayout>
          <c:xMode val="edge"/>
          <c:yMode val="edge"/>
          <c:x val="1.3559433597446087E-2"/>
          <c:y val="3.375524934383201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1"/>
          <c:order val="0"/>
          <c:tx>
            <c:strRef>
              <c:f>Sheet1!$W$5</c:f>
              <c:strCache>
                <c:ptCount val="1"/>
                <c:pt idx="0">
                  <c:v>PET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Sheet1!$W$18:$W$23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A8-4D93-9905-564A65185E89}"/>
            </c:ext>
          </c:extLst>
        </c:ser>
        <c:ser>
          <c:idx val="2"/>
          <c:order val="1"/>
          <c:tx>
            <c:strRef>
              <c:f>Sheet1!$X$5</c:f>
              <c:strCache>
                <c:ptCount val="1"/>
                <c:pt idx="0">
                  <c:v>TRS-80</c:v>
                </c:pt>
              </c:strCache>
            </c:strRef>
          </c:tx>
          <c:marker>
            <c:symbol val="none"/>
          </c:marker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Sheet1!$X$18:$X$23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A8-4D93-9905-564A65185E89}"/>
            </c:ext>
          </c:extLst>
        </c:ser>
        <c:ser>
          <c:idx val="3"/>
          <c:order val="2"/>
          <c:tx>
            <c:strRef>
              <c:f>Sheet1!$Y$5</c:f>
              <c:strCache>
                <c:ptCount val="1"/>
                <c:pt idx="0">
                  <c:v>Atari 400/800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Sheet1!$Y$18:$Y$23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A8-4D93-9905-564A65185E89}"/>
            </c:ext>
          </c:extLst>
        </c:ser>
        <c:ser>
          <c:idx val="4"/>
          <c:order val="3"/>
          <c:tx>
            <c:strRef>
              <c:f>Sheet1!$Z$5</c:f>
              <c:strCache>
                <c:ptCount val="1"/>
                <c:pt idx="0">
                  <c:v>Altair</c:v>
                </c:pt>
              </c:strCache>
            </c:strRef>
          </c:tx>
          <c:marker>
            <c:symbol val="none"/>
          </c:marker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Sheet1!$Z$18:$Z$23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A8-4D93-9905-564A65185E89}"/>
            </c:ext>
          </c:extLst>
        </c:ser>
        <c:ser>
          <c:idx val="6"/>
          <c:order val="4"/>
          <c:tx>
            <c:strRef>
              <c:f>Sheet1!$AB$5</c:f>
              <c:strCache>
                <c:ptCount val="1"/>
                <c:pt idx="0">
                  <c:v>Others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Sheet1!$AB$18:$AB$23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A8-4D93-9905-564A65185E89}"/>
            </c:ext>
          </c:extLst>
        </c:ser>
        <c:ser>
          <c:idx val="0"/>
          <c:order val="5"/>
          <c:tx>
            <c:strRef>
              <c:f>Sheet1!$AC$5</c:f>
              <c:strCache>
                <c:ptCount val="1"/>
                <c:pt idx="0">
                  <c:v>Commodore 64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Sheet1!$AC$18:$AC$23</c:f>
              <c:numCache>
                <c:formatCode>General</c:formatCode>
                <c:ptCount val="6"/>
                <c:pt idx="0">
                  <c:v>16.304347826086957</c:v>
                </c:pt>
                <c:pt idx="1">
                  <c:v>8.3333333333333321</c:v>
                </c:pt>
                <c:pt idx="2">
                  <c:v>5.9523809523809517</c:v>
                </c:pt>
                <c:pt idx="3">
                  <c:v>3.5000000000000004</c:v>
                </c:pt>
                <c:pt idx="4">
                  <c:v>4.2666666666666666</c:v>
                </c:pt>
                <c:pt idx="5">
                  <c:v>1.4423076923076923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A8-4D93-9905-564A65185E89}"/>
            </c:ext>
          </c:extLst>
        </c:ser>
        <c:ser>
          <c:idx val="7"/>
          <c:order val="6"/>
          <c:tx>
            <c:strRef>
              <c:f>Sheet1!$AD$5</c:f>
              <c:strCache>
                <c:ptCount val="1"/>
                <c:pt idx="0">
                  <c:v>Macintosh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336902886044396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A8-4D93-9905-564A65185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Sheet1!$AD$18:$AD$23</c:f>
              <c:numCache>
                <c:formatCode>General</c:formatCode>
                <c:ptCount val="6"/>
                <c:pt idx="0">
                  <c:v>5.9782608695652177</c:v>
                </c:pt>
                <c:pt idx="1">
                  <c:v>6</c:v>
                </c:pt>
                <c:pt idx="2">
                  <c:v>5.2380952380952381</c:v>
                </c:pt>
                <c:pt idx="3">
                  <c:v>6.5</c:v>
                </c:pt>
                <c:pt idx="4">
                  <c:v>11.200000000000001</c:v>
                </c:pt>
                <c:pt idx="5">
                  <c:v>12.01923076923077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A8-4D93-9905-564A65185E89}"/>
            </c:ext>
          </c:extLst>
        </c:ser>
        <c:ser>
          <c:idx val="8"/>
          <c:order val="7"/>
          <c:tx>
            <c:strRef>
              <c:f>Sheet1!$AE$5</c:f>
              <c:strCache>
                <c:ptCount val="1"/>
                <c:pt idx="0">
                  <c:v>Amiga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4.6738262174333772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A8-4D93-9905-564A65185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Sheet1!$AE$18:$AE$23</c:f>
              <c:numCache>
                <c:formatCode>General</c:formatCode>
                <c:ptCount val="6"/>
                <c:pt idx="0">
                  <c:v>3.2608695652173911</c:v>
                </c:pt>
                <c:pt idx="1">
                  <c:v>2.666666666666667</c:v>
                </c:pt>
                <c:pt idx="2">
                  <c:v>2.8571428571428572</c:v>
                </c:pt>
                <c:pt idx="3">
                  <c:v>3.75</c:v>
                </c:pt>
                <c:pt idx="4">
                  <c:v>5.52</c:v>
                </c:pt>
                <c:pt idx="5">
                  <c:v>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AA8-4D93-9905-564A65185E89}"/>
            </c:ext>
          </c:extLst>
        </c:ser>
        <c:ser>
          <c:idx val="9"/>
          <c:order val="8"/>
          <c:tx>
            <c:strRef>
              <c:f>Sheet1!$AF$5</c:f>
              <c:strCache>
                <c:ptCount val="1"/>
                <c:pt idx="0">
                  <c:v>Atari ST</c:v>
                </c:pt>
              </c:strCache>
            </c:strRef>
          </c:tx>
          <c:marker>
            <c:symbol val="none"/>
          </c:marker>
          <c:dLbls>
            <c:dLbl>
              <c:idx val="5"/>
              <c:layout>
                <c:manualLayout>
                  <c:x val="-1.6729401923881221E-3"/>
                  <c:y val="-2.0772470098172412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A8-4D93-9905-564A65185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Sheet1!$AF$18:$AF$23</c:f>
              <c:numCache>
                <c:formatCode>General</c:formatCode>
                <c:ptCount val="6"/>
                <c:pt idx="0">
                  <c:v>4.3478260869565215</c:v>
                </c:pt>
                <c:pt idx="1">
                  <c:v>2.3333333333333335</c:v>
                </c:pt>
                <c:pt idx="2">
                  <c:v>1.4285714285714286</c:v>
                </c:pt>
                <c:pt idx="3">
                  <c:v>1.5</c:v>
                </c:pt>
                <c:pt idx="4">
                  <c:v>1.6</c:v>
                </c:pt>
                <c:pt idx="5">
                  <c:v>0.57692307692307698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AA8-4D93-9905-564A65185E89}"/>
            </c:ext>
          </c:extLst>
        </c:ser>
        <c:ser>
          <c:idx val="10"/>
          <c:order val="9"/>
          <c:tx>
            <c:strRef>
              <c:f>Sheet1!$AG$5</c:f>
              <c:strCache>
                <c:ptCount val="1"/>
                <c:pt idx="0">
                  <c:v>IBM PC + clones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A8-4D93-9905-564A65185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Sheet1!$V$18:$V$23</c:f>
              <c:numCache>
                <c:formatCode>General</c:formatCode>
                <c:ptCount val="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</c:numCache>
            </c:numRef>
          </c:cat>
          <c:val>
            <c:numRef>
              <c:f>Sheet1!$AG$18:$AG$23</c:f>
              <c:numCache>
                <c:formatCode>General</c:formatCode>
                <c:ptCount val="6"/>
                <c:pt idx="0">
                  <c:v>64.673913043478265</c:v>
                </c:pt>
                <c:pt idx="1">
                  <c:v>79.333333333333329</c:v>
                </c:pt>
                <c:pt idx="2">
                  <c:v>83.571428571428569</c:v>
                </c:pt>
                <c:pt idx="3">
                  <c:v>84.19</c:v>
                </c:pt>
                <c:pt idx="4">
                  <c:v>76.794666666666672</c:v>
                </c:pt>
                <c:pt idx="5">
                  <c:v>87.980769230769226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AA8-4D93-9905-564A6518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5228560"/>
        <c:axId val="1"/>
      </c:lineChart>
      <c:catAx>
        <c:axId val="109522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95228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Personal computer market share: 1993-2011</a:t>
            </a:r>
          </a:p>
        </c:rich>
      </c:tx>
      <c:layout>
        <c:manualLayout>
          <c:xMode val="edge"/>
          <c:yMode val="edge"/>
          <c:x val="1.3559377850667036E-2"/>
          <c:y val="3.3755323386133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7"/>
          <c:order val="0"/>
          <c:tx>
            <c:strRef>
              <c:f>Sheet1!$AD$5</c:f>
              <c:strCache>
                <c:ptCount val="1"/>
                <c:pt idx="0">
                  <c:v>Macintosh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8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5-41AD-A9A0-55C16A1D5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Sheet1!$V$24:$V$42</c:f>
              <c:numCache>
                <c:formatCode>General</c:formatCod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numCache>
            </c:numRef>
          </c:cat>
          <c:val>
            <c:numRef>
              <c:f>Sheet1!$AD$24:$AD$42</c:f>
              <c:numCache>
                <c:formatCode>General</c:formatCode>
                <c:ptCount val="19"/>
                <c:pt idx="0">
                  <c:v>10.628019323671497</c:v>
                </c:pt>
                <c:pt idx="1">
                  <c:v>9.2682926829268286</c:v>
                </c:pt>
                <c:pt idx="2">
                  <c:v>8.24</c:v>
                </c:pt>
                <c:pt idx="3">
                  <c:v>4.3435897435897441</c:v>
                </c:pt>
                <c:pt idx="4">
                  <c:v>3.1925925925925926</c:v>
                </c:pt>
                <c:pt idx="5">
                  <c:v>3.0720000000000001</c:v>
                </c:pt>
                <c:pt idx="6">
                  <c:v>3.2341666666666664</c:v>
                </c:pt>
                <c:pt idx="7">
                  <c:v>2.7826086956521738</c:v>
                </c:pt>
                <c:pt idx="8">
                  <c:v>2.4796874999999998</c:v>
                </c:pt>
                <c:pt idx="9">
                  <c:v>2.3469696969696972</c:v>
                </c:pt>
                <c:pt idx="10">
                  <c:v>2.0543766578249336</c:v>
                </c:pt>
                <c:pt idx="11">
                  <c:v>1.9847198641765702</c:v>
                </c:pt>
                <c:pt idx="12">
                  <c:v>2.4074121081355502</c:v>
                </c:pt>
                <c:pt idx="13">
                  <c:v>2.3640217214091326</c:v>
                </c:pt>
                <c:pt idx="14">
                  <c:v>2.8630429972711853</c:v>
                </c:pt>
                <c:pt idx="15">
                  <c:v>3.3407407407407406</c:v>
                </c:pt>
                <c:pt idx="16">
                  <c:v>3.6299583983022883</c:v>
                </c:pt>
                <c:pt idx="17">
                  <c:v>4.0947786606129393</c:v>
                </c:pt>
                <c:pt idx="18">
                  <c:v>5.0362012330205044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5-41AD-A9A0-55C16A1D5690}"/>
            </c:ext>
          </c:extLst>
        </c:ser>
        <c:ser>
          <c:idx val="10"/>
          <c:order val="1"/>
          <c:tx>
            <c:strRef>
              <c:f>Sheet1!$AG$5</c:f>
              <c:strCache>
                <c:ptCount val="1"/>
                <c:pt idx="0">
                  <c:v>IBM PC + clones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8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45-41AD-A9A0-55C16A1D5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Sheet1!$V$24:$V$42</c:f>
              <c:numCache>
                <c:formatCode>General</c:formatCod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numCache>
            </c:numRef>
          </c:cat>
          <c:val>
            <c:numRef>
              <c:f>Sheet1!$AG$24:$AG$42</c:f>
              <c:numCache>
                <c:formatCode>General</c:formatCode>
                <c:ptCount val="19"/>
                <c:pt idx="0">
                  <c:v>89.371980676328505</c:v>
                </c:pt>
                <c:pt idx="1">
                  <c:v>90.731707317073173</c:v>
                </c:pt>
                <c:pt idx="2">
                  <c:v>91.759999999999991</c:v>
                </c:pt>
                <c:pt idx="3">
                  <c:v>95.656410256410254</c:v>
                </c:pt>
                <c:pt idx="4">
                  <c:v>96.80740740740741</c:v>
                </c:pt>
                <c:pt idx="5">
                  <c:v>96.927999999999997</c:v>
                </c:pt>
                <c:pt idx="6">
                  <c:v>96.765833333333333</c:v>
                </c:pt>
                <c:pt idx="7">
                  <c:v>97.217391304347828</c:v>
                </c:pt>
                <c:pt idx="8">
                  <c:v>97.520312499999989</c:v>
                </c:pt>
                <c:pt idx="9">
                  <c:v>97.653030303030306</c:v>
                </c:pt>
                <c:pt idx="10">
                  <c:v>97.945623342175068</c:v>
                </c:pt>
                <c:pt idx="11">
                  <c:v>98.015280135823431</c:v>
                </c:pt>
                <c:pt idx="12">
                  <c:v>97.59258789186444</c:v>
                </c:pt>
                <c:pt idx="13">
                  <c:v>97.635978278590869</c:v>
                </c:pt>
                <c:pt idx="14">
                  <c:v>97.13695700272882</c:v>
                </c:pt>
                <c:pt idx="15">
                  <c:v>96.659259259259258</c:v>
                </c:pt>
                <c:pt idx="16">
                  <c:v>96.370041601697707</c:v>
                </c:pt>
                <c:pt idx="17">
                  <c:v>95.905221339387055</c:v>
                </c:pt>
                <c:pt idx="18">
                  <c:v>94.963798766979508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45-41AD-A9A0-55C16A1D5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5298768"/>
        <c:axId val="1"/>
      </c:lineChart>
      <c:catAx>
        <c:axId val="123529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235298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11019378089805E-2"/>
          <c:y val="7.5144535181840735E-2"/>
          <c:w val="0.6520552306662234"/>
          <c:h val="0.78323727054918602"/>
        </c:manualLayout>
      </c:layout>
      <c:areaChart>
        <c:grouping val="stacked"/>
        <c:varyColors val="0"/>
        <c:ser>
          <c:idx val="4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Sheet1!$B$6:$B$12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3-4D6E-AFF2-0C2E54C92C2E}"/>
            </c:ext>
          </c:extLst>
        </c:ser>
        <c:ser>
          <c:idx val="5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7.6</c:v>
                </c:pt>
                <c:pt idx="4">
                  <c:v>35</c:v>
                </c:pt>
                <c:pt idx="5">
                  <c:v>78</c:v>
                </c:pt>
                <c:pt idx="6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3-4D6E-AFF2-0C2E54C92C2E}"/>
            </c:ext>
          </c:extLst>
        </c:ser>
        <c:ser>
          <c:idx val="6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3-4D6E-AFF2-0C2E54C92C2E}"/>
            </c:ext>
          </c:extLst>
        </c:ser>
        <c:ser>
          <c:idx val="7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Sheet1!$E$6:$E$12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93-4D6E-AFF2-0C2E54C92C2E}"/>
            </c:ext>
          </c:extLst>
        </c:ser>
        <c:ser>
          <c:idx val="8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FCF30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Sheet1!$F$6:$F$12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93-4D6E-AFF2-0C2E54C92C2E}"/>
            </c:ext>
          </c:extLst>
        </c:ser>
        <c:ser>
          <c:idx val="9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Sheet1!$G$6:$G$12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93-4D6E-AFF2-0C2E54C92C2E}"/>
            </c:ext>
          </c:extLst>
        </c:ser>
        <c:ser>
          <c:idx val="10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Sheet1!$H$6:$H$12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93-4D6E-AFF2-0C2E54C92C2E}"/>
            </c:ext>
          </c:extLst>
        </c:ser>
        <c:ser>
          <c:idx val="0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Sheet1!$I$6:$I$12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290</c:v>
                </c:pt>
                <c:pt idx="6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93-4D6E-AFF2-0C2E54C92C2E}"/>
            </c:ext>
          </c:extLst>
        </c:ser>
        <c:ser>
          <c:idx val="1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Sheet1!$J$6:$J$12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93-4D6E-AFF2-0C2E54C92C2E}"/>
            </c:ext>
          </c:extLst>
        </c:ser>
        <c:ser>
          <c:idx val="2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Sheet1!$A$6:$A$12</c:f>
              <c:numCache>
                <c:formatCode>General</c:formatCode>
                <c:ptCount val="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</c:numCache>
            </c:numRef>
          </c:cat>
          <c:val>
            <c:numRef>
              <c:f>Sheet1!$L$6:$L$12</c:f>
              <c:numCache>
                <c:formatCode>General</c:formatCode>
                <c:ptCount val="7"/>
                <c:pt idx="0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424</c:v>
                </c:pt>
                <c:pt idx="6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93-4D6E-AFF2-0C2E54C92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543072"/>
        <c:axId val="1"/>
      </c:areaChart>
      <c:catAx>
        <c:axId val="10825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82543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76692682846117577"/>
          <c:y val="0.31676144942726736"/>
          <c:w val="0.21939213835140908"/>
          <c:h val="0.29848675042184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Personal computer market share: 1975-2011</a:t>
            </a:r>
          </a:p>
        </c:rich>
      </c:tx>
      <c:layout>
        <c:manualLayout>
          <c:xMode val="edge"/>
          <c:yMode val="edge"/>
          <c:x val="1.3559377850667036E-2"/>
          <c:y val="3.3755323386133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1"/>
          <c:order val="0"/>
          <c:tx>
            <c:strRef>
              <c:f>Sheet1!$W$5</c:f>
              <c:strCache>
                <c:ptCount val="1"/>
                <c:pt idx="0">
                  <c:v>PET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Sheet1!$W$6:$W$42</c:f>
              <c:numCache>
                <c:formatCode>0.00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2.666666666666667</c:v>
                </c:pt>
                <c:pt idx="3">
                  <c:v>11.627906976744185</c:v>
                </c:pt>
                <c:pt idx="4">
                  <c:v>7.7586206896551726</c:v>
                </c:pt>
                <c:pt idx="5">
                  <c:v>12.430939226519337</c:v>
                </c:pt>
                <c:pt idx="6">
                  <c:v>2.8571428571428572</c:v>
                </c:pt>
                <c:pt idx="7">
                  <c:v>0.35714285714285715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8-4EFB-8DA5-950A18E3CC3F}"/>
            </c:ext>
          </c:extLst>
        </c:ser>
        <c:ser>
          <c:idx val="2"/>
          <c:order val="1"/>
          <c:tx>
            <c:strRef>
              <c:f>Sheet1!$X$5</c:f>
              <c:strCache>
                <c:ptCount val="1"/>
                <c:pt idx="0">
                  <c:v>TRS-80</c:v>
                </c:pt>
              </c:strCache>
            </c:strRef>
          </c:tx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Sheet1!$X$6:$X$42</c:f>
              <c:numCache>
                <c:formatCode>0.00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66.666666666666657</c:v>
                </c:pt>
                <c:pt idx="3">
                  <c:v>58.139534883720934</c:v>
                </c:pt>
                <c:pt idx="4">
                  <c:v>34.482758620689658</c:v>
                </c:pt>
                <c:pt idx="5">
                  <c:v>40.055248618784525</c:v>
                </c:pt>
                <c:pt idx="6">
                  <c:v>17.857142857142858</c:v>
                </c:pt>
                <c:pt idx="7">
                  <c:v>10.714285714285714</c:v>
                </c:pt>
                <c:pt idx="8">
                  <c:v>4.0650406504065035</c:v>
                </c:pt>
                <c:pt idx="9">
                  <c:v>0.7908889591901298</c:v>
                </c:pt>
                <c:pt idx="10">
                  <c:v>0.13140604467805519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8-4EFB-8DA5-950A18E3CC3F}"/>
            </c:ext>
          </c:extLst>
        </c:ser>
        <c:ser>
          <c:idx val="3"/>
          <c:order val="2"/>
          <c:tx>
            <c:strRef>
              <c:f>Sheet1!$Y$5</c:f>
              <c:strCache>
                <c:ptCount val="1"/>
                <c:pt idx="0">
                  <c:v>Atari 400/800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Sheet1!$Y$6:$Y$42</c:f>
              <c:numCache>
                <c:formatCode>0.00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17.241379310344829</c:v>
                </c:pt>
                <c:pt idx="5">
                  <c:v>27.624309392265197</c:v>
                </c:pt>
                <c:pt idx="6">
                  <c:v>21.428571428571427</c:v>
                </c:pt>
                <c:pt idx="7">
                  <c:v>21.428571428571427</c:v>
                </c:pt>
                <c:pt idx="8">
                  <c:v>10.16260162601626</c:v>
                </c:pt>
                <c:pt idx="9">
                  <c:v>3.1635558367605192</c:v>
                </c:pt>
                <c:pt idx="10">
                  <c:v>1.3140604467805519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8-4EFB-8DA5-950A18E3CC3F}"/>
            </c:ext>
          </c:extLst>
        </c:ser>
        <c:ser>
          <c:idx val="4"/>
          <c:order val="3"/>
          <c:tx>
            <c:strRef>
              <c:f>Sheet1!$Z$5</c:f>
              <c:strCache>
                <c:ptCount val="1"/>
                <c:pt idx="0">
                  <c:v>Altair</c:v>
                </c:pt>
              </c:strCache>
            </c:strRef>
          </c:tx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Sheet1!$Z$6:$Z$42</c:f>
              <c:numCache>
                <c:formatCode>0.00</c:formatCode>
                <c:ptCount val="37"/>
                <c:pt idx="0">
                  <c:v>100</c:v>
                </c:pt>
                <c:pt idx="1">
                  <c:v>13.043478260869565</c:v>
                </c:pt>
                <c:pt idx="2">
                  <c:v>6.666666666666667</c:v>
                </c:pt>
                <c:pt idx="3">
                  <c:v>1.5503875968992249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8-4EFB-8DA5-950A18E3CC3F}"/>
            </c:ext>
          </c:extLst>
        </c:ser>
        <c:ser>
          <c:idx val="5"/>
          <c:order val="4"/>
          <c:tx>
            <c:strRef>
              <c:f>Sheet1!$AA$5</c:f>
              <c:strCache>
                <c:ptCount val="1"/>
                <c:pt idx="0">
                  <c:v>Apple II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Sheet1!$AA$6:$AA$42</c:f>
              <c:numCache>
                <c:formatCode>0.00</c:formatCode>
                <c:ptCount val="37"/>
                <c:pt idx="2">
                  <c:v>0.4</c:v>
                </c:pt>
                <c:pt idx="3">
                  <c:v>2.9457364341085297</c:v>
                </c:pt>
                <c:pt idx="4">
                  <c:v>6.0344827586206895</c:v>
                </c:pt>
                <c:pt idx="5">
                  <c:v>10.773480662983401</c:v>
                </c:pt>
                <c:pt idx="6">
                  <c:v>15</c:v>
                </c:pt>
                <c:pt idx="7">
                  <c:v>9.96428571428571</c:v>
                </c:pt>
                <c:pt idx="8">
                  <c:v>8.5365853658536608</c:v>
                </c:pt>
                <c:pt idx="9">
                  <c:v>15.8177791838026</c:v>
                </c:pt>
                <c:pt idx="10">
                  <c:v>11.826544021025001</c:v>
                </c:pt>
                <c:pt idx="11">
                  <c:v>7.7777777777777803</c:v>
                </c:pt>
                <c:pt idx="12">
                  <c:v>5.4347826086956497</c:v>
                </c:pt>
                <c:pt idx="13">
                  <c:v>1.3333333333333299</c:v>
                </c:pt>
                <c:pt idx="14">
                  <c:v>0.952380952380952</c:v>
                </c:pt>
                <c:pt idx="15">
                  <c:v>0.5</c:v>
                </c:pt>
                <c:pt idx="16">
                  <c:v>0.53333333333333299</c:v>
                </c:pt>
                <c:pt idx="17">
                  <c:v>0.53333333333333299</c:v>
                </c:pt>
                <c:pt idx="18">
                  <c:v>0.53333333333333299</c:v>
                </c:pt>
                <c:pt idx="19">
                  <c:v>0.53333333333333299</c:v>
                </c:pt>
                <c:pt idx="20">
                  <c:v>0.53333333333333299</c:v>
                </c:pt>
                <c:pt idx="21">
                  <c:v>0.53333333333333299</c:v>
                </c:pt>
                <c:pt idx="22">
                  <c:v>0.53333333333333299</c:v>
                </c:pt>
                <c:pt idx="23">
                  <c:v>0.53333333333333299</c:v>
                </c:pt>
                <c:pt idx="24">
                  <c:v>0.53333333333333299</c:v>
                </c:pt>
                <c:pt idx="25">
                  <c:v>0.53333333333333299</c:v>
                </c:pt>
                <c:pt idx="26">
                  <c:v>0.53333333333333299</c:v>
                </c:pt>
                <c:pt idx="27">
                  <c:v>0.53333333333333299</c:v>
                </c:pt>
                <c:pt idx="28">
                  <c:v>0.53333333333333299</c:v>
                </c:pt>
                <c:pt idx="29">
                  <c:v>0.53333333333333299</c:v>
                </c:pt>
                <c:pt idx="30">
                  <c:v>0.53333333333333299</c:v>
                </c:pt>
                <c:pt idx="31">
                  <c:v>0.53333333333333299</c:v>
                </c:pt>
                <c:pt idx="32">
                  <c:v>0.53333333333333299</c:v>
                </c:pt>
                <c:pt idx="33">
                  <c:v>0.53333333333333299</c:v>
                </c:pt>
                <c:pt idx="34">
                  <c:v>0.53333333333333299</c:v>
                </c:pt>
                <c:pt idx="35">
                  <c:v>0.53333333333333299</c:v>
                </c:pt>
                <c:pt idx="36">
                  <c:v>0.53333333333333299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8-4EFB-8DA5-950A18E3CC3F}"/>
            </c:ext>
          </c:extLst>
        </c:ser>
        <c:ser>
          <c:idx val="6"/>
          <c:order val="5"/>
          <c:tx>
            <c:strRef>
              <c:f>Sheet1!$AB$5</c:f>
              <c:strCache>
                <c:ptCount val="1"/>
                <c:pt idx="0">
                  <c:v>Others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Sheet1!$AB$6:$AB$42</c:f>
              <c:numCache>
                <c:formatCode>0.00</c:formatCode>
                <c:ptCount val="37"/>
                <c:pt idx="0">
                  <c:v>0</c:v>
                </c:pt>
                <c:pt idx="1">
                  <c:v>86.956521739130437</c:v>
                </c:pt>
                <c:pt idx="2">
                  <c:v>33.333333333333329</c:v>
                </c:pt>
                <c:pt idx="3">
                  <c:v>38.759689922480625</c:v>
                </c:pt>
                <c:pt idx="4">
                  <c:v>34.482758620689658</c:v>
                </c:pt>
                <c:pt idx="5">
                  <c:v>58.563535911602202</c:v>
                </c:pt>
                <c:pt idx="6">
                  <c:v>43.214285714285715</c:v>
                </c:pt>
                <c:pt idx="7">
                  <c:v>42.178571428571423</c:v>
                </c:pt>
                <c:pt idx="8">
                  <c:v>10.16260162601626</c:v>
                </c:pt>
                <c:pt idx="9">
                  <c:v>3.1635558367605192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B8-4EFB-8DA5-950A18E3CC3F}"/>
            </c:ext>
          </c:extLst>
        </c:ser>
        <c:ser>
          <c:idx val="0"/>
          <c:order val="6"/>
          <c:tx>
            <c:strRef>
              <c:f>Sheet1!$AC$5</c:f>
              <c:strCache>
                <c:ptCount val="1"/>
                <c:pt idx="0">
                  <c:v>Commodore 64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.12379757423672104"/>
                  <c:y val="-0.2103212597439956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B8-4EFB-8DA5-950A18E3CC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Sheet1!$AC$6:$AC$42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7.1428571428571423</c:v>
                </c:pt>
                <c:pt idx="8">
                  <c:v>40.650406504065039</c:v>
                </c:pt>
                <c:pt idx="9">
                  <c:v>39.544447959506485</c:v>
                </c:pt>
                <c:pt idx="10">
                  <c:v>32.851511169513799</c:v>
                </c:pt>
                <c:pt idx="11">
                  <c:v>27.777777777777779</c:v>
                </c:pt>
                <c:pt idx="12">
                  <c:v>16.304347826086957</c:v>
                </c:pt>
                <c:pt idx="13">
                  <c:v>8.3333333333333321</c:v>
                </c:pt>
                <c:pt idx="14">
                  <c:v>5.9523809523809517</c:v>
                </c:pt>
                <c:pt idx="15">
                  <c:v>3.5000000000000004</c:v>
                </c:pt>
                <c:pt idx="16">
                  <c:v>4.2666666666666666</c:v>
                </c:pt>
                <c:pt idx="17">
                  <c:v>1.4423076923076923</c:v>
                </c:pt>
                <c:pt idx="18">
                  <c:v>0.56360708534621573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B8-4EFB-8DA5-950A18E3CC3F}"/>
            </c:ext>
          </c:extLst>
        </c:ser>
        <c:ser>
          <c:idx val="7"/>
          <c:order val="7"/>
          <c:tx>
            <c:strRef>
              <c:f>Sheet1!$AD$5</c:f>
              <c:strCache>
                <c:ptCount val="1"/>
                <c:pt idx="0">
                  <c:v>Macintosh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.65077373483897949"/>
                  <c:y val="-4.414149895861637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B8-4EFB-8DA5-950A18E3CC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Sheet1!$AD$6:$AD$42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5.884213856374565</c:v>
                </c:pt>
                <c:pt idx="10">
                  <c:v>2.6281208935611038</c:v>
                </c:pt>
                <c:pt idx="11">
                  <c:v>4.2222222222222223</c:v>
                </c:pt>
                <c:pt idx="12">
                  <c:v>5.9782608695652177</c:v>
                </c:pt>
                <c:pt idx="13">
                  <c:v>6</c:v>
                </c:pt>
                <c:pt idx="14">
                  <c:v>5.2380952380952381</c:v>
                </c:pt>
                <c:pt idx="15">
                  <c:v>6.5</c:v>
                </c:pt>
                <c:pt idx="16">
                  <c:v>11.200000000000001</c:v>
                </c:pt>
                <c:pt idx="17">
                  <c:v>12.01923076923077</c:v>
                </c:pt>
                <c:pt idx="18">
                  <c:v>10.628019323671497</c:v>
                </c:pt>
                <c:pt idx="19">
                  <c:v>9.2682926829268286</c:v>
                </c:pt>
                <c:pt idx="20">
                  <c:v>8.24</c:v>
                </c:pt>
                <c:pt idx="21">
                  <c:v>4.3435897435897441</c:v>
                </c:pt>
                <c:pt idx="22">
                  <c:v>3.1925925925925926</c:v>
                </c:pt>
                <c:pt idx="23">
                  <c:v>3.0720000000000001</c:v>
                </c:pt>
                <c:pt idx="24">
                  <c:v>3.2341666666666664</c:v>
                </c:pt>
                <c:pt idx="25">
                  <c:v>2.7826086956521738</c:v>
                </c:pt>
                <c:pt idx="26">
                  <c:v>2.4796874999999998</c:v>
                </c:pt>
                <c:pt idx="27">
                  <c:v>2.3469696969696972</c:v>
                </c:pt>
                <c:pt idx="28">
                  <c:v>2.0543766578249336</c:v>
                </c:pt>
                <c:pt idx="29">
                  <c:v>1.9847198641765702</c:v>
                </c:pt>
                <c:pt idx="30">
                  <c:v>2.4074121081355502</c:v>
                </c:pt>
                <c:pt idx="31">
                  <c:v>2.3640217214091326</c:v>
                </c:pt>
                <c:pt idx="32">
                  <c:v>2.8630429972711853</c:v>
                </c:pt>
                <c:pt idx="33">
                  <c:v>3.3407407407407406</c:v>
                </c:pt>
                <c:pt idx="34">
                  <c:v>3.6299583983022883</c:v>
                </c:pt>
                <c:pt idx="35">
                  <c:v>4.0947786606129393</c:v>
                </c:pt>
                <c:pt idx="36">
                  <c:v>5.0362012330205044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B8-4EFB-8DA5-950A18E3CC3F}"/>
            </c:ext>
          </c:extLst>
        </c:ser>
        <c:ser>
          <c:idx val="8"/>
          <c:order val="8"/>
          <c:tx>
            <c:strRef>
              <c:f>Sheet1!$AE$5</c:f>
              <c:strCache>
                <c:ptCount val="1"/>
                <c:pt idx="0">
                  <c:v>Amiga</c:v>
                </c:pt>
              </c:strCache>
            </c:strRef>
          </c:tx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Sheet1!$AE$6:$AE$42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1.3140604467805519</c:v>
                </c:pt>
                <c:pt idx="11">
                  <c:v>2.2222222222222223</c:v>
                </c:pt>
                <c:pt idx="12">
                  <c:v>3.2608695652173911</c:v>
                </c:pt>
                <c:pt idx="13">
                  <c:v>2.666666666666667</c:v>
                </c:pt>
                <c:pt idx="14">
                  <c:v>2.8571428571428572</c:v>
                </c:pt>
                <c:pt idx="15">
                  <c:v>3.75</c:v>
                </c:pt>
                <c:pt idx="16">
                  <c:v>5.52</c:v>
                </c:pt>
                <c:pt idx="17">
                  <c:v>1.875</c:v>
                </c:pt>
                <c:pt idx="18">
                  <c:v>0.49919484702093397</c:v>
                </c:pt>
                <c:pt idx="19">
                  <c:v>0.12195121951219512</c:v>
                </c:pt>
                <c:pt idx="20">
                  <c:v>8.4000000000000005E-2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B8-4EFB-8DA5-950A18E3CC3F}"/>
            </c:ext>
          </c:extLst>
        </c:ser>
        <c:ser>
          <c:idx val="9"/>
          <c:order val="9"/>
          <c:tx>
            <c:strRef>
              <c:f>Sheet1!$AF$5</c:f>
              <c:strCache>
                <c:ptCount val="1"/>
                <c:pt idx="0">
                  <c:v>Atari ST</c:v>
                </c:pt>
              </c:strCache>
            </c:strRef>
          </c:tx>
          <c:marker>
            <c:symbol val="none"/>
          </c:marker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Sheet1!$AF$6:$AF$42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1.3140604467805519</c:v>
                </c:pt>
                <c:pt idx="11">
                  <c:v>2.2222222222222223</c:v>
                </c:pt>
                <c:pt idx="12">
                  <c:v>4.3478260869565215</c:v>
                </c:pt>
                <c:pt idx="13">
                  <c:v>2.3333333333333335</c:v>
                </c:pt>
                <c:pt idx="14">
                  <c:v>1.4285714285714286</c:v>
                </c:pt>
                <c:pt idx="15">
                  <c:v>1.5</c:v>
                </c:pt>
                <c:pt idx="16">
                  <c:v>1.6</c:v>
                </c:pt>
                <c:pt idx="17">
                  <c:v>0.57692307692307698</c:v>
                </c:pt>
                <c:pt idx="18">
                  <c:v>9.6618357487922704E-2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EB8-4EFB-8DA5-950A18E3CC3F}"/>
            </c:ext>
          </c:extLst>
        </c:ser>
        <c:ser>
          <c:idx val="10"/>
          <c:order val="10"/>
          <c:tx>
            <c:strRef>
              <c:f>Sheet1!$AG$5</c:f>
              <c:strCache>
                <c:ptCount val="1"/>
                <c:pt idx="0">
                  <c:v>IBM PC + clones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.63571727310748638"/>
                  <c:y val="-0.6854915132396896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B8-4EFB-8DA5-950A18E3CC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Sheet1!$V$6:$V$42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Sheet1!$AG$6:$AG$42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</c:v>
                </c:pt>
                <c:pt idx="7">
                  <c:v>8.5714285714285712</c:v>
                </c:pt>
                <c:pt idx="8">
                  <c:v>26.422764227642276</c:v>
                </c:pt>
                <c:pt idx="9">
                  <c:v>31.635558367605189</c:v>
                </c:pt>
                <c:pt idx="10">
                  <c:v>48.620236530880426</c:v>
                </c:pt>
                <c:pt idx="11">
                  <c:v>55.777777777777779</c:v>
                </c:pt>
                <c:pt idx="12">
                  <c:v>64.673913043478265</c:v>
                </c:pt>
                <c:pt idx="13">
                  <c:v>79.333333333333329</c:v>
                </c:pt>
                <c:pt idx="14">
                  <c:v>83.571428571428569</c:v>
                </c:pt>
                <c:pt idx="15">
                  <c:v>84.19</c:v>
                </c:pt>
                <c:pt idx="16">
                  <c:v>76.794666666666672</c:v>
                </c:pt>
                <c:pt idx="17">
                  <c:v>87.980769230769226</c:v>
                </c:pt>
                <c:pt idx="18">
                  <c:v>89.371980676328505</c:v>
                </c:pt>
                <c:pt idx="19">
                  <c:v>90.731707317073173</c:v>
                </c:pt>
                <c:pt idx="20">
                  <c:v>91.759999999999991</c:v>
                </c:pt>
                <c:pt idx="21">
                  <c:v>95.656410256410254</c:v>
                </c:pt>
                <c:pt idx="22">
                  <c:v>96.80740740740741</c:v>
                </c:pt>
                <c:pt idx="23">
                  <c:v>96.927999999999997</c:v>
                </c:pt>
                <c:pt idx="24">
                  <c:v>96.765833333333333</c:v>
                </c:pt>
                <c:pt idx="25">
                  <c:v>97.217391304347828</c:v>
                </c:pt>
                <c:pt idx="26">
                  <c:v>97.520312499999989</c:v>
                </c:pt>
                <c:pt idx="27">
                  <c:v>97.653030303030306</c:v>
                </c:pt>
                <c:pt idx="28">
                  <c:v>97.945623342175068</c:v>
                </c:pt>
                <c:pt idx="29">
                  <c:v>98.015280135823431</c:v>
                </c:pt>
                <c:pt idx="30">
                  <c:v>97.59258789186444</c:v>
                </c:pt>
                <c:pt idx="31">
                  <c:v>97.635978278590869</c:v>
                </c:pt>
                <c:pt idx="32">
                  <c:v>97.13695700272882</c:v>
                </c:pt>
                <c:pt idx="33">
                  <c:v>96.659259259259258</c:v>
                </c:pt>
                <c:pt idx="34">
                  <c:v>96.370041601697707</c:v>
                </c:pt>
                <c:pt idx="35">
                  <c:v>95.905221339387055</c:v>
                </c:pt>
                <c:pt idx="36">
                  <c:v>94.963798766979508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EB8-4EFB-8DA5-950A18E3C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5258992"/>
        <c:axId val="1"/>
      </c:lineChart>
      <c:catAx>
        <c:axId val="109525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95258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Growth of the personal computer market: 1975-2011</a:t>
            </a:r>
          </a:p>
        </c:rich>
      </c:tx>
      <c:layout>
        <c:manualLayout>
          <c:xMode val="edge"/>
          <c:yMode val="edge"/>
          <c:x val="1.3559377850667036E-2"/>
          <c:y val="3.3755323386133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67033975834576509"/>
          <c:h val="0.7205505767733934"/>
        </c:manualLayout>
      </c:layout>
      <c:areaChart>
        <c:grouping val="stacked"/>
        <c:varyColors val="0"/>
        <c:ser>
          <c:idx val="1"/>
          <c:order val="0"/>
          <c:tx>
            <c:strRef>
              <c:f>Sheet1!$A$5</c:f>
              <c:strCache>
                <c:ptCount val="1"/>
                <c:pt idx="0">
                  <c:v>Year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5-498D-8869-B346001E1F58}"/>
            </c:ext>
          </c:extLst>
        </c:ser>
        <c:ser>
          <c:idx val="2"/>
          <c:order val="1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Sheet1!$B$6:$B$42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240</c:v>
                </c:pt>
                <c:pt idx="8">
                  <c:v>1300</c:v>
                </c:pt>
                <c:pt idx="9">
                  <c:v>2000</c:v>
                </c:pt>
                <c:pt idx="10">
                  <c:v>3700</c:v>
                </c:pt>
                <c:pt idx="11">
                  <c:v>5020</c:v>
                </c:pt>
                <c:pt idx="12">
                  <c:v>5950</c:v>
                </c:pt>
                <c:pt idx="13">
                  <c:v>11900</c:v>
                </c:pt>
                <c:pt idx="14">
                  <c:v>17550</c:v>
                </c:pt>
                <c:pt idx="15">
                  <c:v>16838</c:v>
                </c:pt>
                <c:pt idx="16">
                  <c:v>14399</c:v>
                </c:pt>
                <c:pt idx="17">
                  <c:v>18300</c:v>
                </c:pt>
                <c:pt idx="18">
                  <c:v>27750</c:v>
                </c:pt>
                <c:pt idx="19">
                  <c:v>37200</c:v>
                </c:pt>
                <c:pt idx="20">
                  <c:v>45880</c:v>
                </c:pt>
                <c:pt idx="21">
                  <c:v>74612</c:v>
                </c:pt>
                <c:pt idx="22">
                  <c:v>78414</c:v>
                </c:pt>
                <c:pt idx="23">
                  <c:v>96928</c:v>
                </c:pt>
                <c:pt idx="24">
                  <c:v>116119</c:v>
                </c:pt>
                <c:pt idx="25">
                  <c:v>134160</c:v>
                </c:pt>
                <c:pt idx="26">
                  <c:v>124826</c:v>
                </c:pt>
                <c:pt idx="27">
                  <c:v>128902</c:v>
                </c:pt>
                <c:pt idx="28">
                  <c:v>147702</c:v>
                </c:pt>
                <c:pt idx="29">
                  <c:v>173193</c:v>
                </c:pt>
                <c:pt idx="30">
                  <c:v>192233</c:v>
                </c:pt>
                <c:pt idx="31">
                  <c:v>233556</c:v>
                </c:pt>
                <c:pt idx="32">
                  <c:v>263416</c:v>
                </c:pt>
                <c:pt idx="33">
                  <c:v>287078</c:v>
                </c:pt>
                <c:pt idx="34">
                  <c:v>297901</c:v>
                </c:pt>
                <c:pt idx="35">
                  <c:v>337970</c:v>
                </c:pt>
                <c:pt idx="36">
                  <c:v>335641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5-498D-8869-B346001E1F58}"/>
            </c:ext>
          </c:extLst>
        </c:ser>
        <c:ser>
          <c:idx val="3"/>
          <c:order val="2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Sheet1!$C$6:$C$42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7.6</c:v>
                </c:pt>
                <c:pt idx="4">
                  <c:v>35</c:v>
                </c:pt>
                <c:pt idx="5">
                  <c:v>78</c:v>
                </c:pt>
                <c:pt idx="6">
                  <c:v>210</c:v>
                </c:pt>
                <c:pt idx="7">
                  <c:v>279</c:v>
                </c:pt>
                <c:pt idx="8">
                  <c:v>420</c:v>
                </c:pt>
                <c:pt idx="9">
                  <c:v>1000</c:v>
                </c:pt>
                <c:pt idx="10">
                  <c:v>900</c:v>
                </c:pt>
                <c:pt idx="11">
                  <c:v>700</c:v>
                </c:pt>
                <c:pt idx="12">
                  <c:v>500</c:v>
                </c:pt>
                <c:pt idx="13">
                  <c:v>200</c:v>
                </c:pt>
                <c:pt idx="14">
                  <c:v>200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A5-498D-8869-B346001E1F58}"/>
            </c:ext>
          </c:extLst>
        </c:ser>
        <c:ser>
          <c:idx val="4"/>
          <c:order val="3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Sheet1!$D$6:$D$42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372</c:v>
                </c:pt>
                <c:pt idx="10">
                  <c:v>200</c:v>
                </c:pt>
                <c:pt idx="11">
                  <c:v>380</c:v>
                </c:pt>
                <c:pt idx="12">
                  <c:v>550</c:v>
                </c:pt>
                <c:pt idx="13">
                  <c:v>900</c:v>
                </c:pt>
                <c:pt idx="14">
                  <c:v>1100</c:v>
                </c:pt>
                <c:pt idx="15">
                  <c:v>1300</c:v>
                </c:pt>
                <c:pt idx="16">
                  <c:v>2100</c:v>
                </c:pt>
                <c:pt idx="17">
                  <c:v>2500</c:v>
                </c:pt>
                <c:pt idx="18">
                  <c:v>3300</c:v>
                </c:pt>
                <c:pt idx="19">
                  <c:v>3800</c:v>
                </c:pt>
                <c:pt idx="20">
                  <c:v>4120</c:v>
                </c:pt>
                <c:pt idx="21">
                  <c:v>3388</c:v>
                </c:pt>
                <c:pt idx="22">
                  <c:v>2586</c:v>
                </c:pt>
                <c:pt idx="23">
                  <c:v>3072</c:v>
                </c:pt>
                <c:pt idx="24">
                  <c:v>3881</c:v>
                </c:pt>
                <c:pt idx="25">
                  <c:v>3840</c:v>
                </c:pt>
                <c:pt idx="26">
                  <c:v>3174</c:v>
                </c:pt>
                <c:pt idx="27">
                  <c:v>3098</c:v>
                </c:pt>
                <c:pt idx="28">
                  <c:v>3098</c:v>
                </c:pt>
                <c:pt idx="29">
                  <c:v>3507</c:v>
                </c:pt>
                <c:pt idx="30">
                  <c:v>4742</c:v>
                </c:pt>
                <c:pt idx="31">
                  <c:v>5655</c:v>
                </c:pt>
                <c:pt idx="32">
                  <c:v>7764</c:v>
                </c:pt>
                <c:pt idx="33">
                  <c:v>9922</c:v>
                </c:pt>
                <c:pt idx="34">
                  <c:v>11221</c:v>
                </c:pt>
                <c:pt idx="35">
                  <c:v>14430</c:v>
                </c:pt>
                <c:pt idx="36">
                  <c:v>17800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5-498D-8869-B346001E1F58}"/>
            </c:ext>
          </c:extLst>
        </c:ser>
        <c:ser>
          <c:idx val="5"/>
          <c:order val="4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Sheet1!$E$6:$E$42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200</c:v>
                </c:pt>
                <c:pt idx="12">
                  <c:v>300</c:v>
                </c:pt>
                <c:pt idx="13">
                  <c:v>400</c:v>
                </c:pt>
                <c:pt idx="14">
                  <c:v>600</c:v>
                </c:pt>
                <c:pt idx="15">
                  <c:v>750</c:v>
                </c:pt>
                <c:pt idx="16">
                  <c:v>1035</c:v>
                </c:pt>
                <c:pt idx="17">
                  <c:v>390</c:v>
                </c:pt>
                <c:pt idx="18">
                  <c:v>155</c:v>
                </c:pt>
                <c:pt idx="19">
                  <c:v>50</c:v>
                </c:pt>
                <c:pt idx="20">
                  <c:v>42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A5-498D-8869-B346001E1F58}"/>
            </c:ext>
          </c:extLst>
        </c:ser>
        <c:ser>
          <c:idx val="6"/>
          <c:order val="5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Sheet1!$F$6:$F$42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600</c:v>
                </c:pt>
                <c:pt idx="8">
                  <c:v>500</c:v>
                </c:pt>
                <c:pt idx="9">
                  <c:v>200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A5-498D-8869-B346001E1F58}"/>
            </c:ext>
          </c:extLst>
        </c:ser>
        <c:ser>
          <c:idx val="0"/>
          <c:order val="6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Sheet1!$G$6:$G$42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200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120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A5-498D-8869-B346001E1F58}"/>
            </c:ext>
          </c:extLst>
        </c:ser>
        <c:ser>
          <c:idx val="7"/>
          <c:order val="7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Sheet1!$H$6:$H$42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200</c:v>
                </c:pt>
                <c:pt idx="8">
                  <c:v>2000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  <c:pt idx="12">
                  <c:v>1500</c:v>
                </c:pt>
                <c:pt idx="13">
                  <c:v>1250</c:v>
                </c:pt>
                <c:pt idx="14">
                  <c:v>1250</c:v>
                </c:pt>
                <c:pt idx="15">
                  <c:v>700</c:v>
                </c:pt>
                <c:pt idx="16">
                  <c:v>800</c:v>
                </c:pt>
                <c:pt idx="17">
                  <c:v>300</c:v>
                </c:pt>
                <c:pt idx="18">
                  <c:v>175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A5-498D-8869-B346001E1F58}"/>
            </c:ext>
          </c:extLst>
        </c:ser>
        <c:ser>
          <c:idx val="8"/>
          <c:order val="8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Sheet1!$I$6:$I$42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290</c:v>
                </c:pt>
                <c:pt idx="6">
                  <c:v>250</c:v>
                </c:pt>
                <c:pt idx="7">
                  <c:v>300</c:v>
                </c:pt>
                <c:pt idx="8">
                  <c:v>200</c:v>
                </c:pt>
                <c:pt idx="9">
                  <c:v>50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A5-498D-8869-B346001E1F58}"/>
            </c:ext>
          </c:extLst>
        </c:ser>
        <c:ser>
          <c:idx val="9"/>
          <c:order val="9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Sheet1!$J$6:$J$42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10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A5-498D-8869-B346001E1F58}"/>
            </c:ext>
          </c:extLst>
        </c:ser>
        <c:ser>
          <c:idx val="10"/>
          <c:order val="10"/>
          <c:tx>
            <c:strRef>
              <c:f>Sheet1!$K$5</c:f>
              <c:strCache>
                <c:ptCount val="1"/>
                <c:pt idx="0">
                  <c:v>PET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Sheet1!$K$6:$K$42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30</c:v>
                </c:pt>
                <c:pt idx="4">
                  <c:v>45</c:v>
                </c:pt>
                <c:pt idx="5">
                  <c:v>90</c:v>
                </c:pt>
                <c:pt idx="6">
                  <c:v>40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A5-498D-8869-B346001E1F58}"/>
            </c:ext>
          </c:extLst>
        </c:ser>
        <c:ser>
          <c:idx val="11"/>
          <c:order val="11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Sheet1!$L$6:$L$42</c:f>
              <c:numCache>
                <c:formatCode>General</c:formatCode>
                <c:ptCount val="37"/>
                <c:pt idx="0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424</c:v>
                </c:pt>
                <c:pt idx="6">
                  <c:v>605</c:v>
                </c:pt>
                <c:pt idx="7">
                  <c:v>1181</c:v>
                </c:pt>
                <c:pt idx="8">
                  <c:v>500</c:v>
                </c:pt>
                <c:pt idx="9">
                  <c:v>200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A5-498D-8869-B346001E1F58}"/>
            </c:ext>
          </c:extLst>
        </c:ser>
        <c:ser>
          <c:idx val="12"/>
          <c:order val="12"/>
          <c:tx>
            <c:strRef>
              <c:f>Sheet1!$M$5</c:f>
              <c:strCache>
                <c:ptCount val="1"/>
                <c:pt idx="0">
                  <c:v>Altair</c:v>
                </c:pt>
              </c:strCache>
            </c:strRef>
          </c:tx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Sheet1!$M$6:$M$42</c:f>
              <c:numCache>
                <c:formatCode>General</c:formatCode>
                <c:ptCount val="37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A5-498D-8869-B346001E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174112"/>
        <c:axId val="1"/>
      </c:areaChart>
      <c:catAx>
        <c:axId val="123617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2361741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Smartphone market share: 2000-2012</a:t>
            </a:r>
          </a:p>
        </c:rich>
      </c:tx>
      <c:layout>
        <c:manualLayout>
          <c:xMode val="edge"/>
          <c:yMode val="edge"/>
          <c:x val="1.3559377850667036E-2"/>
          <c:y val="3.37553140364496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1"/>
          <c:order val="0"/>
          <c:tx>
            <c:strRef>
              <c:f>Sheet1!$K$77</c:f>
              <c:strCache>
                <c:ptCount val="1"/>
                <c:pt idx="0">
                  <c:v>Year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B-4777-A80A-DBADCF7381C2}"/>
            </c:ext>
          </c:extLst>
        </c:ser>
        <c:ser>
          <c:idx val="2"/>
          <c:order val="1"/>
          <c:tx>
            <c:strRef>
              <c:f>Sheet1!$L$77</c:f>
              <c:strCache>
                <c:ptCount val="1"/>
                <c:pt idx="0">
                  <c:v>Symbian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0"/>
                  <c:y val="-2.81938247753790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4B-4777-A80A-DBADCF738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Sheet1!$L$78:$L$90</c:f>
              <c:numCache>
                <c:formatCode>General</c:formatCode>
                <c:ptCount val="13"/>
                <c:pt idx="0">
                  <c:v>0</c:v>
                </c:pt>
                <c:pt idx="1">
                  <c:v>16.666666666666664</c:v>
                </c:pt>
                <c:pt idx="2">
                  <c:v>49.645390070921984</c:v>
                </c:pt>
                <c:pt idx="3">
                  <c:v>88</c:v>
                </c:pt>
                <c:pt idx="4">
                  <c:v>56.000000000000007</c:v>
                </c:pt>
                <c:pt idx="5">
                  <c:v>51</c:v>
                </c:pt>
                <c:pt idx="6">
                  <c:v>67</c:v>
                </c:pt>
                <c:pt idx="7">
                  <c:v>63.515944399018807</c:v>
                </c:pt>
                <c:pt idx="8">
                  <c:v>52.354630294328786</c:v>
                </c:pt>
                <c:pt idx="9">
                  <c:v>45.772495755517831</c:v>
                </c:pt>
                <c:pt idx="10">
                  <c:v>36.703947368421055</c:v>
                </c:pt>
                <c:pt idx="11">
                  <c:v>19.052966101694917</c:v>
                </c:pt>
                <c:pt idx="12">
                  <c:v>8.6593498193942757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B-4777-A80A-DBADCF7381C2}"/>
            </c:ext>
          </c:extLst>
        </c:ser>
        <c:ser>
          <c:idx val="3"/>
          <c:order val="2"/>
          <c:tx>
            <c:strRef>
              <c:f>Sheet1!$M$77</c:f>
              <c:strCache>
                <c:ptCount val="1"/>
                <c:pt idx="0">
                  <c:v>WinMobile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2.0113135064981E-2"/>
                  <c:y val="2.129074439371671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4B-4777-A80A-DBADCF738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Sheet1!$M$78:$M$90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7.0921985815602824</c:v>
                </c:pt>
                <c:pt idx="3">
                  <c:v>4.0540540540540535</c:v>
                </c:pt>
                <c:pt idx="4">
                  <c:v>12.6</c:v>
                </c:pt>
                <c:pt idx="5">
                  <c:v>17</c:v>
                </c:pt>
                <c:pt idx="6">
                  <c:v>14.000000000000002</c:v>
                </c:pt>
                <c:pt idx="7">
                  <c:v>12.019623875715453</c:v>
                </c:pt>
                <c:pt idx="8">
                  <c:v>11.844938980617371</c:v>
                </c:pt>
                <c:pt idx="9">
                  <c:v>8.5059422750424449</c:v>
                </c:pt>
                <c:pt idx="10">
                  <c:v>4.0723684210526319</c:v>
                </c:pt>
                <c:pt idx="11">
                  <c:v>5.5826271186440675</c:v>
                </c:pt>
                <c:pt idx="12">
                  <c:v>1.8755209780494582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4B-4777-A80A-DBADCF7381C2}"/>
            </c:ext>
          </c:extLst>
        </c:ser>
        <c:ser>
          <c:idx val="4"/>
          <c:order val="3"/>
          <c:tx>
            <c:strRef>
              <c:f>Sheet1!$N$77</c:f>
              <c:strCache>
                <c:ptCount val="1"/>
                <c:pt idx="0">
                  <c:v>PalmOS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Sheet1!$N$78:$N$90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7.0921985815602824</c:v>
                </c:pt>
                <c:pt idx="3">
                  <c:v>2.7027027027027026</c:v>
                </c:pt>
                <c:pt idx="4">
                  <c:v>4.5161290322580641</c:v>
                </c:pt>
                <c:pt idx="5">
                  <c:v>2.3605150214592276</c:v>
                </c:pt>
                <c:pt idx="6">
                  <c:v>5.5000000000000009</c:v>
                </c:pt>
                <c:pt idx="7">
                  <c:v>1.4390842191332789</c:v>
                </c:pt>
                <c:pt idx="8">
                  <c:v>1.8018664752333091</c:v>
                </c:pt>
                <c:pt idx="9">
                  <c:v>0.67345783814374649</c:v>
                </c:pt>
                <c:pt idx="10">
                  <c:v>0.13157894736842105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4B-4777-A80A-DBADCF7381C2}"/>
            </c:ext>
          </c:extLst>
        </c:ser>
        <c:ser>
          <c:idx val="5"/>
          <c:order val="4"/>
          <c:tx>
            <c:strRef>
              <c:f>Sheet1!$O$77</c:f>
              <c:strCache>
                <c:ptCount val="1"/>
                <c:pt idx="0">
                  <c:v>Blackberry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2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4B-4777-A80A-DBADCF738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Sheet1!$O$78:$O$90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2.7027027027027026</c:v>
                </c:pt>
                <c:pt idx="4">
                  <c:v>10.322580645161288</c:v>
                </c:pt>
                <c:pt idx="5">
                  <c:v>6.0085836909871233</c:v>
                </c:pt>
                <c:pt idx="6">
                  <c:v>7.0000000000000009</c:v>
                </c:pt>
                <c:pt idx="7">
                  <c:v>9.623875715453801</c:v>
                </c:pt>
                <c:pt idx="8">
                  <c:v>16.61880832735104</c:v>
                </c:pt>
                <c:pt idx="9">
                  <c:v>19.439728353140922</c:v>
                </c:pt>
                <c:pt idx="10">
                  <c:v>15.608552631578949</c:v>
                </c:pt>
                <c:pt idx="11">
                  <c:v>13.262711864406779</c:v>
                </c:pt>
                <c:pt idx="12">
                  <c:v>6.8769102528480133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4B-4777-A80A-DBADCF7381C2}"/>
            </c:ext>
          </c:extLst>
        </c:ser>
        <c:ser>
          <c:idx val="6"/>
          <c:order val="5"/>
          <c:tx>
            <c:strRef>
              <c:f>Sheet1!$P$77</c:f>
              <c:strCache>
                <c:ptCount val="1"/>
                <c:pt idx="0">
                  <c:v>Android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4B-4777-A80A-DBADCF738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Sheet1!$P$78:$P$90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3.8483305036785516</c:v>
                </c:pt>
                <c:pt idx="10">
                  <c:v>22.111842105263158</c:v>
                </c:pt>
                <c:pt idx="11">
                  <c:v>38.108050847457633</c:v>
                </c:pt>
                <c:pt idx="12">
                  <c:v>56.265629341483745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14B-4777-A80A-DBADCF7381C2}"/>
            </c:ext>
          </c:extLst>
        </c:ser>
        <c:ser>
          <c:idx val="0"/>
          <c:order val="6"/>
          <c:tx>
            <c:strRef>
              <c:f>Sheet1!$Q$77</c:f>
              <c:strCache>
                <c:ptCount val="1"/>
                <c:pt idx="0">
                  <c:v>iPhone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2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4B-4777-A80A-DBADCF738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Sheet1!$Q$78:$Q$90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2.698282910874898</c:v>
                </c:pt>
                <c:pt idx="8">
                  <c:v>8.1981335247666909</c:v>
                </c:pt>
                <c:pt idx="9">
                  <c:v>14.086021505376344</c:v>
                </c:pt>
                <c:pt idx="10">
                  <c:v>15.328947368421053</c:v>
                </c:pt>
                <c:pt idx="11">
                  <c:v>19.1864406779661</c:v>
                </c:pt>
                <c:pt idx="12">
                  <c:v>23.006390664073351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14B-4777-A80A-DBADCF7381C2}"/>
            </c:ext>
          </c:extLst>
        </c:ser>
        <c:ser>
          <c:idx val="7"/>
          <c:order val="7"/>
          <c:tx>
            <c:strRef>
              <c:f>Sheet1!$R$77</c:f>
              <c:strCache>
                <c:ptCount val="1"/>
                <c:pt idx="0">
                  <c:v>Linux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0.45336679213718112"/>
                  <c:y val="-0.19248826291079804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4B-4777-A80A-DBADCF738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Sheet1!$R$78:$R$90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23</c:v>
                </c:pt>
                <c:pt idx="6">
                  <c:v>6</c:v>
                </c:pt>
                <c:pt idx="7">
                  <c:v>9.6156991005723622</c:v>
                </c:pt>
                <c:pt idx="8">
                  <c:v>8.0832735104091871</c:v>
                </c:pt>
                <c:pt idx="9">
                  <c:v>4.6010186757215621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14B-4777-A80A-DBADCF7381C2}"/>
            </c:ext>
          </c:extLst>
        </c:ser>
        <c:ser>
          <c:idx val="8"/>
          <c:order val="8"/>
          <c:tx>
            <c:strRef>
              <c:f>Sheet1!$S$77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dLbls>
            <c:dLbl>
              <c:idx val="12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4B-4777-A80A-DBADCF738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Sheet1!$K$78:$K$90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Sheet1!$S$78:$S$90</c:f>
              <c:numCache>
                <c:formatCode>General</c:formatCode>
                <c:ptCount val="13"/>
                <c:pt idx="0">
                  <c:v>100</c:v>
                </c:pt>
                <c:pt idx="1">
                  <c:v>83.333333333333343</c:v>
                </c:pt>
                <c:pt idx="2">
                  <c:v>36.170212765957459</c:v>
                </c:pt>
                <c:pt idx="3">
                  <c:v>2.5405405405405368</c:v>
                </c:pt>
                <c:pt idx="4">
                  <c:v>5.5612903225806454</c:v>
                </c:pt>
                <c:pt idx="5">
                  <c:v>0.63090128755365671</c:v>
                </c:pt>
                <c:pt idx="6">
                  <c:v>0.50000000000000711</c:v>
                </c:pt>
                <c:pt idx="7">
                  <c:v>1.0874897792313851</c:v>
                </c:pt>
                <c:pt idx="8">
                  <c:v>1.0983488872936118</c:v>
                </c:pt>
                <c:pt idx="9">
                  <c:v>3.0730050933786122</c:v>
                </c:pt>
                <c:pt idx="10">
                  <c:v>6.0427631578947389</c:v>
                </c:pt>
                <c:pt idx="11">
                  <c:v>4.8072033898305087</c:v>
                </c:pt>
                <c:pt idx="12">
                  <c:v>3.3161989441511537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14B-4777-A80A-DBADCF73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6169792"/>
        <c:axId val="1"/>
      </c:lineChart>
      <c:catAx>
        <c:axId val="123616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236169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Smartphone market share: 2000-2006</a:t>
            </a:r>
          </a:p>
        </c:rich>
      </c:tx>
      <c:layout>
        <c:manualLayout>
          <c:xMode val="edge"/>
          <c:yMode val="edge"/>
          <c:x val="1.3559377850667036E-2"/>
          <c:y val="3.37553140364496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3"/>
          <c:order val="0"/>
          <c:tx>
            <c:strRef>
              <c:f>Sheet1!$L$77</c:f>
              <c:strCache>
                <c:ptCount val="1"/>
                <c:pt idx="0">
                  <c:v>Symbian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ED-4578-B439-D65E221668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Sheet1!$L$78:$L$84</c:f>
              <c:numCache>
                <c:formatCode>General</c:formatCode>
                <c:ptCount val="7"/>
                <c:pt idx="0">
                  <c:v>0</c:v>
                </c:pt>
                <c:pt idx="1">
                  <c:v>16.666666666666664</c:v>
                </c:pt>
                <c:pt idx="2">
                  <c:v>49.645390070921984</c:v>
                </c:pt>
                <c:pt idx="3">
                  <c:v>88</c:v>
                </c:pt>
                <c:pt idx="4">
                  <c:v>56.000000000000007</c:v>
                </c:pt>
                <c:pt idx="5">
                  <c:v>51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D-4578-B439-D65E2216687F}"/>
            </c:ext>
          </c:extLst>
        </c:ser>
        <c:ser>
          <c:idx val="4"/>
          <c:order val="1"/>
          <c:tx>
            <c:strRef>
              <c:f>Sheet1!$M$77</c:f>
              <c:strCache>
                <c:ptCount val="1"/>
                <c:pt idx="0">
                  <c:v>WinMobile</c:v>
                </c:pt>
              </c:strCache>
            </c:strRef>
          </c:tx>
          <c:marker>
            <c:symbol val="none"/>
          </c:marker>
          <c:dLbls>
            <c:dLbl>
              <c:idx val="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ED-4578-B439-D65E221668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Sheet1!$M$78:$M$84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7.0921985815602824</c:v>
                </c:pt>
                <c:pt idx="3">
                  <c:v>4.0540540540540535</c:v>
                </c:pt>
                <c:pt idx="4">
                  <c:v>12.6</c:v>
                </c:pt>
                <c:pt idx="5">
                  <c:v>17</c:v>
                </c:pt>
                <c:pt idx="6">
                  <c:v>14.000000000000002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ED-4578-B439-D65E2216687F}"/>
            </c:ext>
          </c:extLst>
        </c:ser>
        <c:ser>
          <c:idx val="5"/>
          <c:order val="2"/>
          <c:tx>
            <c:strRef>
              <c:f>Sheet1!$N$77</c:f>
              <c:strCache>
                <c:ptCount val="1"/>
                <c:pt idx="0">
                  <c:v>PalmOS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0"/>
                  <c:y val="1.402488662756508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ED-4578-B439-D65E221668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Sheet1!$N$78:$N$84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7.0921985815602824</c:v>
                </c:pt>
                <c:pt idx="3">
                  <c:v>2.7027027027027026</c:v>
                </c:pt>
                <c:pt idx="4">
                  <c:v>4.5161290322580641</c:v>
                </c:pt>
                <c:pt idx="5">
                  <c:v>2.3605150214592276</c:v>
                </c:pt>
                <c:pt idx="6">
                  <c:v>5.5000000000000009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ED-4578-B439-D65E2216687F}"/>
            </c:ext>
          </c:extLst>
        </c:ser>
        <c:ser>
          <c:idx val="6"/>
          <c:order val="3"/>
          <c:tx>
            <c:strRef>
              <c:f>Sheet1!$O$77</c:f>
              <c:strCache>
                <c:ptCount val="1"/>
                <c:pt idx="0">
                  <c:v>Blackberry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ED-4578-B439-D65E221668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Sheet1!$O$78:$O$84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2.7027027027027026</c:v>
                </c:pt>
                <c:pt idx="4">
                  <c:v>10.322580645161288</c:v>
                </c:pt>
                <c:pt idx="5">
                  <c:v>6.0085836909871233</c:v>
                </c:pt>
                <c:pt idx="6">
                  <c:v>7.0000000000000009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3ED-4578-B439-D65E2216687F}"/>
            </c:ext>
          </c:extLst>
        </c:ser>
        <c:ser>
          <c:idx val="0"/>
          <c:order val="4"/>
          <c:tx>
            <c:strRef>
              <c:f>Sheet1!$P$77</c:f>
              <c:strCache>
                <c:ptCount val="1"/>
                <c:pt idx="0">
                  <c:v>Android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Sheet1!$P$78:$P$84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3ED-4578-B439-D65E2216687F}"/>
            </c:ext>
          </c:extLst>
        </c:ser>
        <c:ser>
          <c:idx val="7"/>
          <c:order val="5"/>
          <c:tx>
            <c:strRef>
              <c:f>Sheet1!$Q$77</c:f>
              <c:strCache>
                <c:ptCount val="1"/>
                <c:pt idx="0">
                  <c:v>iPhone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Sheet1!$Q$78:$Q$84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3ED-4578-B439-D65E2216687F}"/>
            </c:ext>
          </c:extLst>
        </c:ser>
        <c:ser>
          <c:idx val="8"/>
          <c:order val="6"/>
          <c:tx>
            <c:strRef>
              <c:f>Sheet1!$R$77</c:f>
              <c:strCache>
                <c:ptCount val="1"/>
                <c:pt idx="0">
                  <c:v>Linux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4387285654537851"/>
                  <c:y val="-0.1572769953051644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ED-4578-B439-D65E221668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Sheet1!$R$78:$R$84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23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ED-4578-B439-D65E2216687F}"/>
            </c:ext>
          </c:extLst>
        </c:ser>
        <c:ser>
          <c:idx val="1"/>
          <c:order val="7"/>
          <c:tx>
            <c:strRef>
              <c:f>Sheet1!$S$77</c:f>
              <c:strCache>
                <c:ptCount val="1"/>
                <c:pt idx="0">
                  <c:v>Others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5.018820577164366E-3"/>
                  <c:y val="2.112676056338028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ED-4578-B439-D65E221668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Sheet1!$K$78:$K$84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Sheet1!$S$78:$S$84</c:f>
              <c:numCache>
                <c:formatCode>General</c:formatCode>
                <c:ptCount val="7"/>
                <c:pt idx="0">
                  <c:v>100</c:v>
                </c:pt>
                <c:pt idx="1">
                  <c:v>83.333333333333343</c:v>
                </c:pt>
                <c:pt idx="2">
                  <c:v>36.170212765957459</c:v>
                </c:pt>
                <c:pt idx="3">
                  <c:v>2.5405405405405368</c:v>
                </c:pt>
                <c:pt idx="4">
                  <c:v>5.5612903225806454</c:v>
                </c:pt>
                <c:pt idx="5">
                  <c:v>0.63090128755365671</c:v>
                </c:pt>
                <c:pt idx="6">
                  <c:v>0.50000000000000711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ED-4578-B439-D65E22166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699488"/>
        <c:axId val="1"/>
      </c:lineChart>
      <c:catAx>
        <c:axId val="123769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237699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Smartphone market share: 2007-2012 *</a:t>
            </a:r>
          </a:p>
        </c:rich>
      </c:tx>
      <c:layout>
        <c:manualLayout>
          <c:xMode val="edge"/>
          <c:yMode val="edge"/>
          <c:x val="1.3559377850667036E-2"/>
          <c:y val="3.37553140364496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3"/>
          <c:order val="0"/>
          <c:tx>
            <c:strRef>
              <c:f>Sheet1!$L$77</c:f>
              <c:strCache>
                <c:ptCount val="1"/>
                <c:pt idx="0">
                  <c:v>Symbian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064323451852229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E7-46BF-BBED-9734571B231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E7-46BF-BBED-9734571B23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Sheet1!$L$85:$L$90</c:f>
              <c:numCache>
                <c:formatCode>General</c:formatCode>
                <c:ptCount val="6"/>
                <c:pt idx="0">
                  <c:v>63.515944399018807</c:v>
                </c:pt>
                <c:pt idx="1">
                  <c:v>52.354630294328786</c:v>
                </c:pt>
                <c:pt idx="2">
                  <c:v>45.772495755517831</c:v>
                </c:pt>
                <c:pt idx="3">
                  <c:v>36.703947368421055</c:v>
                </c:pt>
                <c:pt idx="4">
                  <c:v>19.052966101694917</c:v>
                </c:pt>
                <c:pt idx="5">
                  <c:v>8.6593498193942757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7-46BF-BBED-9734571B2310}"/>
            </c:ext>
          </c:extLst>
        </c:ser>
        <c:ser>
          <c:idx val="4"/>
          <c:order val="1"/>
          <c:tx>
            <c:strRef>
              <c:f>Sheet1!$M$77</c:f>
              <c:strCache>
                <c:ptCount val="1"/>
                <c:pt idx="0">
                  <c:v>WinMobile</c:v>
                </c:pt>
              </c:strCache>
            </c:strRef>
          </c:tx>
          <c:marker>
            <c:symbol val="none"/>
          </c:marker>
          <c:dLbls>
            <c:dLbl>
              <c:idx val="5"/>
              <c:layout>
                <c:manualLayout>
                  <c:x val="3.5139898670585985E-2"/>
                  <c:y val="5.1470099233451964E-2"/>
                </c:manualLayout>
              </c:layout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altLang="ja-JP"/>
                      <a:t>WinMobile + WinPhone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BE7-46BF-BBED-9734571B23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Sheet1!$M$85:$M$90</c:f>
              <c:numCache>
                <c:formatCode>General</c:formatCode>
                <c:ptCount val="6"/>
                <c:pt idx="0">
                  <c:v>12.019623875715453</c:v>
                </c:pt>
                <c:pt idx="1">
                  <c:v>11.844938980617371</c:v>
                </c:pt>
                <c:pt idx="2">
                  <c:v>8.5059422750424449</c:v>
                </c:pt>
                <c:pt idx="3">
                  <c:v>4.0723684210526319</c:v>
                </c:pt>
                <c:pt idx="4">
                  <c:v>5.5826271186440675</c:v>
                </c:pt>
                <c:pt idx="5">
                  <c:v>1.8755209780494582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E7-46BF-BBED-9734571B2310}"/>
            </c:ext>
          </c:extLst>
        </c:ser>
        <c:ser>
          <c:idx val="5"/>
          <c:order val="2"/>
          <c:tx>
            <c:strRef>
              <c:f>Sheet1!$N$77</c:f>
              <c:strCache>
                <c:ptCount val="1"/>
                <c:pt idx="0">
                  <c:v>PalmOS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Sheet1!$N$85:$N$90</c:f>
              <c:numCache>
                <c:formatCode>General</c:formatCode>
                <c:ptCount val="6"/>
                <c:pt idx="0">
                  <c:v>1.4390842191332789</c:v>
                </c:pt>
                <c:pt idx="1">
                  <c:v>1.8018664752333091</c:v>
                </c:pt>
                <c:pt idx="2">
                  <c:v>0.67345783814374649</c:v>
                </c:pt>
                <c:pt idx="3">
                  <c:v>0.13157894736842105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E7-46BF-BBED-9734571B2310}"/>
            </c:ext>
          </c:extLst>
        </c:ser>
        <c:ser>
          <c:idx val="6"/>
          <c:order val="3"/>
          <c:tx>
            <c:strRef>
              <c:f>Sheet1!$O$77</c:f>
              <c:strCache>
                <c:ptCount val="1"/>
                <c:pt idx="0">
                  <c:v>Blackberry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4.5873854485605093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E7-46BF-BBED-9734571B231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E7-46BF-BBED-9734571B23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Sheet1!$O$85:$O$90</c:f>
              <c:numCache>
                <c:formatCode>General</c:formatCode>
                <c:ptCount val="6"/>
                <c:pt idx="0">
                  <c:v>9.623875715453801</c:v>
                </c:pt>
                <c:pt idx="1">
                  <c:v>16.61880832735104</c:v>
                </c:pt>
                <c:pt idx="2">
                  <c:v>19.439728353140922</c:v>
                </c:pt>
                <c:pt idx="3">
                  <c:v>15.608552631578949</c:v>
                </c:pt>
                <c:pt idx="4">
                  <c:v>13.262711864406779</c:v>
                </c:pt>
                <c:pt idx="5">
                  <c:v>6.8769102528480133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BE7-46BF-BBED-9734571B2310}"/>
            </c:ext>
          </c:extLst>
        </c:ser>
        <c:ser>
          <c:idx val="0"/>
          <c:order val="4"/>
          <c:tx>
            <c:strRef>
              <c:f>Sheet1!$P$77</c:f>
              <c:strCache>
                <c:ptCount val="1"/>
                <c:pt idx="0">
                  <c:v>Android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7-46BF-BBED-9734571B23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Sheet1!$P$85:$P$90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3.8483305036785516</c:v>
                </c:pt>
                <c:pt idx="3">
                  <c:v>22.111842105263158</c:v>
                </c:pt>
                <c:pt idx="4">
                  <c:v>38.108050847457633</c:v>
                </c:pt>
                <c:pt idx="5">
                  <c:v>56.265629341483745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BE7-46BF-BBED-9734571B2310}"/>
            </c:ext>
          </c:extLst>
        </c:ser>
        <c:ser>
          <c:idx val="7"/>
          <c:order val="5"/>
          <c:tx>
            <c:strRef>
              <c:f>Sheet1!$Q$77</c:f>
              <c:strCache>
                <c:ptCount val="1"/>
                <c:pt idx="0">
                  <c:v>iPhone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E7-46BF-BBED-9734571B23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Sheet1!$Q$85:$Q$90</c:f>
              <c:numCache>
                <c:formatCode>General</c:formatCode>
                <c:ptCount val="6"/>
                <c:pt idx="0">
                  <c:v>2.698282910874898</c:v>
                </c:pt>
                <c:pt idx="1">
                  <c:v>8.1981335247666909</c:v>
                </c:pt>
                <c:pt idx="2">
                  <c:v>14.086021505376344</c:v>
                </c:pt>
                <c:pt idx="3">
                  <c:v>15.328947368421053</c:v>
                </c:pt>
                <c:pt idx="4">
                  <c:v>19.1864406779661</c:v>
                </c:pt>
                <c:pt idx="5">
                  <c:v>23.006390664073351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BE7-46BF-BBED-9734571B2310}"/>
            </c:ext>
          </c:extLst>
        </c:ser>
        <c:ser>
          <c:idx val="8"/>
          <c:order val="6"/>
          <c:tx>
            <c:strRef>
              <c:f>Sheet1!$R$77</c:f>
              <c:strCache>
                <c:ptCount val="1"/>
                <c:pt idx="0">
                  <c:v>Linux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Sheet1!$R$85:$R$90</c:f>
              <c:numCache>
                <c:formatCode>General</c:formatCode>
                <c:ptCount val="6"/>
                <c:pt idx="0">
                  <c:v>9.6156991005723622</c:v>
                </c:pt>
                <c:pt idx="1">
                  <c:v>8.0832735104091871</c:v>
                </c:pt>
                <c:pt idx="2">
                  <c:v>4.6010186757215621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BE7-46BF-BBED-9734571B2310}"/>
            </c:ext>
          </c:extLst>
        </c:ser>
        <c:ser>
          <c:idx val="1"/>
          <c:order val="7"/>
          <c:tx>
            <c:strRef>
              <c:f>Sheet1!$S$77</c:f>
              <c:strCache>
                <c:ptCount val="1"/>
                <c:pt idx="0">
                  <c:v>Others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E7-46BF-BBED-9734571B2310}"/>
                </c:ext>
              </c:extLst>
            </c:dLbl>
            <c:dLbl>
              <c:idx val="6"/>
              <c:layout>
                <c:manualLayout>
                  <c:x val="5.018820577164366E-3"/>
                  <c:y val="2.112676056338028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E7-46BF-BBED-9734571B23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Sheet1!$K$85:$K$90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Sheet1!$S$85:$S$90</c:f>
              <c:numCache>
                <c:formatCode>General</c:formatCode>
                <c:ptCount val="6"/>
                <c:pt idx="0">
                  <c:v>1.0874897792313851</c:v>
                </c:pt>
                <c:pt idx="1">
                  <c:v>1.0983488872936118</c:v>
                </c:pt>
                <c:pt idx="2">
                  <c:v>3.0730050933786122</c:v>
                </c:pt>
                <c:pt idx="3">
                  <c:v>6.0427631578947389</c:v>
                </c:pt>
                <c:pt idx="4">
                  <c:v>4.8072033898305087</c:v>
                </c:pt>
                <c:pt idx="5">
                  <c:v>3.3161989441511537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BE7-46BF-BBED-9734571B2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702848"/>
        <c:axId val="1"/>
      </c:lineChart>
      <c:catAx>
        <c:axId val="123770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237702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Tablet market share: 2010-2012*</a:t>
            </a:r>
          </a:p>
        </c:rich>
      </c:tx>
      <c:layout>
        <c:manualLayout>
          <c:xMode val="edge"/>
          <c:yMode val="edge"/>
          <c:x val="1.3559377850667036E-2"/>
          <c:y val="3.37553140364496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77238913584302615"/>
          <c:h val="0.7205505767733934"/>
        </c:manualLayout>
      </c:layout>
      <c:lineChart>
        <c:grouping val="standard"/>
        <c:varyColors val="0"/>
        <c:ser>
          <c:idx val="3"/>
          <c:order val="0"/>
          <c:tx>
            <c:strRef>
              <c:f>Sheet1!$K$93</c:f>
              <c:strCache>
                <c:ptCount val="1"/>
                <c:pt idx="0">
                  <c:v>iPad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7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9D-4B89-9C88-654F362260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Sheet1!$J$94:$J$101</c:f>
              <c:strCache>
                <c:ptCount val="8"/>
                <c:pt idx="0">
                  <c:v>2010 Q2</c:v>
                </c:pt>
                <c:pt idx="1">
                  <c:v>2010 Q3</c:v>
                </c:pt>
                <c:pt idx="2">
                  <c:v>2010 Q4</c:v>
                </c:pt>
                <c:pt idx="3">
                  <c:v>2011 Q1</c:v>
                </c:pt>
                <c:pt idx="4">
                  <c:v>2011 Q2</c:v>
                </c:pt>
                <c:pt idx="5">
                  <c:v>2011 Q3</c:v>
                </c:pt>
                <c:pt idx="6">
                  <c:v>2011 Q4</c:v>
                </c:pt>
                <c:pt idx="7">
                  <c:v>2012 Q1</c:v>
                </c:pt>
              </c:strCache>
            </c:strRef>
          </c:cat>
          <c:val>
            <c:numRef>
              <c:f>Sheet1!$K$94:$K$101</c:f>
              <c:numCache>
                <c:formatCode>0.00</c:formatCode>
                <c:ptCount val="8"/>
                <c:pt idx="0" formatCode="#,##0">
                  <c:v>92.844974446337318</c:v>
                </c:pt>
                <c:pt idx="1">
                  <c:v>79.121711148968387</c:v>
                </c:pt>
                <c:pt idx="2">
                  <c:v>83.055082339579783</c:v>
                </c:pt>
                <c:pt idx="3" formatCode="#,##0">
                  <c:v>78.144525717713307</c:v>
                </c:pt>
                <c:pt idx="4">
                  <c:v>77.061499241881464</c:v>
                </c:pt>
                <c:pt idx="5">
                  <c:v>61.760279032052033</c:v>
                </c:pt>
                <c:pt idx="6">
                  <c:v>64.273455854174642</c:v>
                </c:pt>
                <c:pt idx="7">
                  <c:v>67.81609195402298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D-4B89-9C88-654F36226007}"/>
            </c:ext>
          </c:extLst>
        </c:ser>
        <c:ser>
          <c:idx val="4"/>
          <c:order val="1"/>
          <c:tx>
            <c:strRef>
              <c:f>Sheet1!$L$93</c:f>
              <c:strCache>
                <c:ptCount val="1"/>
                <c:pt idx="0">
                  <c:v>Android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7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9D-4B89-9C88-654F362260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Sheet1!$J$94:$J$101</c:f>
              <c:strCache>
                <c:ptCount val="8"/>
                <c:pt idx="0">
                  <c:v>2010 Q2</c:v>
                </c:pt>
                <c:pt idx="1">
                  <c:v>2010 Q3</c:v>
                </c:pt>
                <c:pt idx="2">
                  <c:v>2010 Q4</c:v>
                </c:pt>
                <c:pt idx="3">
                  <c:v>2011 Q1</c:v>
                </c:pt>
                <c:pt idx="4">
                  <c:v>2011 Q2</c:v>
                </c:pt>
                <c:pt idx="5">
                  <c:v>2011 Q3</c:v>
                </c:pt>
                <c:pt idx="6">
                  <c:v>2011 Q4</c:v>
                </c:pt>
                <c:pt idx="7">
                  <c:v>2012 Q1</c:v>
                </c:pt>
              </c:strCache>
            </c:strRef>
          </c:cat>
          <c:val>
            <c:numRef>
              <c:f>Sheet1!$L$94:$L$101</c:f>
              <c:numCache>
                <c:formatCode>#,##0</c:formatCode>
                <c:ptCount val="8"/>
                <c:pt idx="0">
                  <c:v>7.1550255536626821</c:v>
                </c:pt>
                <c:pt idx="1">
                  <c:v>20.878288851031613</c:v>
                </c:pt>
                <c:pt idx="2">
                  <c:v>16.944917660420217</c:v>
                </c:pt>
                <c:pt idx="3">
                  <c:v>21.855474282286693</c:v>
                </c:pt>
                <c:pt idx="4">
                  <c:v>18.232334171984608</c:v>
                </c:pt>
                <c:pt idx="5">
                  <c:v>33.475101943338274</c:v>
                </c:pt>
                <c:pt idx="6">
                  <c:v>35.309995501274649</c:v>
                </c:pt>
                <c:pt idx="7" formatCode="0.00">
                  <c:v>31.034482758620697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9D-4B89-9C88-654F36226007}"/>
            </c:ext>
          </c:extLst>
        </c:ser>
        <c:ser>
          <c:idx val="5"/>
          <c:order val="2"/>
          <c:tx>
            <c:strRef>
              <c:f>Sheet1!$M$93</c:f>
              <c:strCache>
                <c:ptCount val="1"/>
                <c:pt idx="0">
                  <c:v>WebOS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4.51693851944793E-2"/>
                  <c:y val="-3.05164319248826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9D-4B89-9C88-654F362260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Sheet1!$J$94:$J$101</c:f>
              <c:strCache>
                <c:ptCount val="8"/>
                <c:pt idx="0">
                  <c:v>2010 Q2</c:v>
                </c:pt>
                <c:pt idx="1">
                  <c:v>2010 Q3</c:v>
                </c:pt>
                <c:pt idx="2">
                  <c:v>2010 Q4</c:v>
                </c:pt>
                <c:pt idx="3">
                  <c:v>2011 Q1</c:v>
                </c:pt>
                <c:pt idx="4">
                  <c:v>2011 Q2</c:v>
                </c:pt>
                <c:pt idx="5">
                  <c:v>2011 Q3</c:v>
                </c:pt>
                <c:pt idx="6">
                  <c:v>2011 Q4</c:v>
                </c:pt>
                <c:pt idx="7">
                  <c:v>2012 Q1</c:v>
                </c:pt>
              </c:strCache>
            </c:strRef>
          </c:cat>
          <c:val>
            <c:numRef>
              <c:f>Sheet1!$M$94:$M$101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9D-4B89-9C88-654F36226007}"/>
            </c:ext>
          </c:extLst>
        </c:ser>
        <c:ser>
          <c:idx val="6"/>
          <c:order val="3"/>
          <c:tx>
            <c:strRef>
              <c:f>Sheet1!$N$93</c:f>
              <c:strCache>
                <c:ptCount val="1"/>
                <c:pt idx="0">
                  <c:v>QNX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0.31785863655374319"/>
                  <c:y val="-5.633802816901408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9D-4B89-9C88-654F362260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Sheet1!$J$94:$J$101</c:f>
              <c:strCache>
                <c:ptCount val="8"/>
                <c:pt idx="0">
                  <c:v>2010 Q2</c:v>
                </c:pt>
                <c:pt idx="1">
                  <c:v>2010 Q3</c:v>
                </c:pt>
                <c:pt idx="2">
                  <c:v>2010 Q4</c:v>
                </c:pt>
                <c:pt idx="3">
                  <c:v>2011 Q1</c:v>
                </c:pt>
                <c:pt idx="4">
                  <c:v>2011 Q2</c:v>
                </c:pt>
                <c:pt idx="5">
                  <c:v>2011 Q3</c:v>
                </c:pt>
                <c:pt idx="6">
                  <c:v>2011 Q4</c:v>
                </c:pt>
                <c:pt idx="7">
                  <c:v>2012 Q1</c:v>
                </c:pt>
              </c:strCache>
            </c:strRef>
          </c:cat>
          <c:val>
            <c:numRef>
              <c:f>Sheet1!$N$94:$N$101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4.7061665861339277</c:v>
                </c:pt>
                <c:pt idx="5" formatCode="0.00">
                  <c:v>1.3446190246096941</c:v>
                </c:pt>
                <c:pt idx="6" formatCode="0.00">
                  <c:v>0.41654864455071056</c:v>
                </c:pt>
                <c:pt idx="7" formatCode="0.00">
                  <c:v>1.1494252873563218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9D-4B89-9C88-654F36226007}"/>
            </c:ext>
          </c:extLst>
        </c:ser>
        <c:ser>
          <c:idx val="0"/>
          <c:order val="4"/>
          <c:tx>
            <c:strRef>
              <c:f>Sheet1!$O$93</c:f>
              <c:strCache>
                <c:ptCount val="1"/>
                <c:pt idx="0">
                  <c:v>Windows</c:v>
                </c:pt>
              </c:strCache>
            </c:strRef>
          </c:tx>
          <c:marker>
            <c:symbol val="none"/>
          </c:marker>
          <c:cat>
            <c:strRef>
              <c:f>Sheet1!$J$94:$J$101</c:f>
              <c:strCache>
                <c:ptCount val="8"/>
                <c:pt idx="0">
                  <c:v>2010 Q2</c:v>
                </c:pt>
                <c:pt idx="1">
                  <c:v>2010 Q3</c:v>
                </c:pt>
                <c:pt idx="2">
                  <c:v>2010 Q4</c:v>
                </c:pt>
                <c:pt idx="3">
                  <c:v>2011 Q1</c:v>
                </c:pt>
                <c:pt idx="4">
                  <c:v>2011 Q2</c:v>
                </c:pt>
                <c:pt idx="5">
                  <c:v>2011 Q3</c:v>
                </c:pt>
                <c:pt idx="6">
                  <c:v>2011 Q4</c:v>
                </c:pt>
                <c:pt idx="7">
                  <c:v>2012 Q1</c:v>
                </c:pt>
              </c:strCache>
            </c:strRef>
          </c:cat>
          <c:val>
            <c:numRef>
              <c:f>Sheet1!$O$94:$O$101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9D-4B89-9C88-654F36226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12336"/>
        <c:axId val="1"/>
      </c:lineChart>
      <c:catAx>
        <c:axId val="108891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889123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/>
              <a:t>Computers, smartphones, and tablet sales: 1975-2011</a:t>
            </a:r>
          </a:p>
        </c:rich>
      </c:tx>
      <c:layout>
        <c:manualLayout>
          <c:xMode val="edge"/>
          <c:yMode val="edge"/>
          <c:x val="1.3559377850667036E-2"/>
          <c:y val="3.3755323386133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334537876376924E-2"/>
          <c:y val="0.19709087280971579"/>
          <c:w val="0.67033975834576509"/>
          <c:h val="0.7205505767733934"/>
        </c:manualLayout>
      </c:layout>
      <c:lineChart>
        <c:grouping val="standard"/>
        <c:varyColors val="0"/>
        <c:ser>
          <c:idx val="13"/>
          <c:order val="0"/>
          <c:tx>
            <c:v>Computers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3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7E-4F6D-8466-71F488D560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Sheet1!$N$6:$N$42</c:f>
              <c:numCache>
                <c:formatCode>General</c:formatCode>
                <c:ptCount val="37"/>
                <c:pt idx="0">
                  <c:v>5</c:v>
                </c:pt>
                <c:pt idx="1">
                  <c:v>46</c:v>
                </c:pt>
                <c:pt idx="2">
                  <c:v>150</c:v>
                </c:pt>
                <c:pt idx="3">
                  <c:v>258</c:v>
                </c:pt>
                <c:pt idx="4">
                  <c:v>580</c:v>
                </c:pt>
                <c:pt idx="5">
                  <c:v>724</c:v>
                </c:pt>
                <c:pt idx="6">
                  <c:v>1400</c:v>
                </c:pt>
                <c:pt idx="7">
                  <c:v>2800</c:v>
                </c:pt>
                <c:pt idx="8">
                  <c:v>4920</c:v>
                </c:pt>
                <c:pt idx="9">
                  <c:v>6322</c:v>
                </c:pt>
                <c:pt idx="10">
                  <c:v>7610</c:v>
                </c:pt>
                <c:pt idx="11">
                  <c:v>9000</c:v>
                </c:pt>
                <c:pt idx="12">
                  <c:v>9200</c:v>
                </c:pt>
                <c:pt idx="13">
                  <c:v>15000</c:v>
                </c:pt>
                <c:pt idx="14">
                  <c:v>21000</c:v>
                </c:pt>
                <c:pt idx="15">
                  <c:v>20000</c:v>
                </c:pt>
                <c:pt idx="16">
                  <c:v>18750</c:v>
                </c:pt>
                <c:pt idx="17">
                  <c:v>20800</c:v>
                </c:pt>
                <c:pt idx="18">
                  <c:v>31050</c:v>
                </c:pt>
                <c:pt idx="19">
                  <c:v>41000</c:v>
                </c:pt>
                <c:pt idx="20">
                  <c:v>50000</c:v>
                </c:pt>
                <c:pt idx="21">
                  <c:v>78000</c:v>
                </c:pt>
                <c:pt idx="22">
                  <c:v>81000</c:v>
                </c:pt>
                <c:pt idx="23">
                  <c:v>100000</c:v>
                </c:pt>
                <c:pt idx="24">
                  <c:v>120000</c:v>
                </c:pt>
                <c:pt idx="25">
                  <c:v>138000</c:v>
                </c:pt>
                <c:pt idx="26">
                  <c:v>128000</c:v>
                </c:pt>
                <c:pt idx="27">
                  <c:v>132000</c:v>
                </c:pt>
                <c:pt idx="28">
                  <c:v>150800</c:v>
                </c:pt>
                <c:pt idx="29">
                  <c:v>176700</c:v>
                </c:pt>
                <c:pt idx="30">
                  <c:v>196975</c:v>
                </c:pt>
                <c:pt idx="31">
                  <c:v>239211</c:v>
                </c:pt>
                <c:pt idx="32">
                  <c:v>271180</c:v>
                </c:pt>
                <c:pt idx="33">
                  <c:v>297000</c:v>
                </c:pt>
                <c:pt idx="34">
                  <c:v>309122</c:v>
                </c:pt>
                <c:pt idx="35">
                  <c:v>352400</c:v>
                </c:pt>
                <c:pt idx="36">
                  <c:v>353441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E-4F6D-8466-71F488D560D4}"/>
            </c:ext>
          </c:extLst>
        </c:ser>
        <c:ser>
          <c:idx val="0"/>
          <c:order val="1"/>
          <c:tx>
            <c:strRef>
              <c:f>Sheet1!$AI$5</c:f>
              <c:strCache>
                <c:ptCount val="1"/>
                <c:pt idx="0">
                  <c:v>Smartphones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3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E-4F6D-8466-71F488D560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Sheet1!$AI$6:$AI$42</c:f>
              <c:numCache>
                <c:formatCode>General</c:formatCode>
                <c:ptCount val="37"/>
                <c:pt idx="25">
                  <c:v>300</c:v>
                </c:pt>
                <c:pt idx="26">
                  <c:v>3000</c:v>
                </c:pt>
                <c:pt idx="27">
                  <c:v>4230</c:v>
                </c:pt>
                <c:pt idx="28">
                  <c:v>7400</c:v>
                </c:pt>
                <c:pt idx="29">
                  <c:v>15500</c:v>
                </c:pt>
                <c:pt idx="30">
                  <c:v>46600</c:v>
                </c:pt>
                <c:pt idx="31">
                  <c:v>80000</c:v>
                </c:pt>
                <c:pt idx="32">
                  <c:v>122300</c:v>
                </c:pt>
                <c:pt idx="33">
                  <c:v>139300</c:v>
                </c:pt>
                <c:pt idx="34">
                  <c:v>176700</c:v>
                </c:pt>
                <c:pt idx="35">
                  <c:v>304000</c:v>
                </c:pt>
                <c:pt idx="36">
                  <c:v>472000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7E-4F6D-8466-71F488D560D4}"/>
            </c:ext>
          </c:extLst>
        </c:ser>
        <c:ser>
          <c:idx val="1"/>
          <c:order val="2"/>
          <c:tx>
            <c:strRef>
              <c:f>Sheet1!$AK$5</c:f>
              <c:strCache>
                <c:ptCount val="1"/>
                <c:pt idx="0">
                  <c:v>Tablets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36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7E-4F6D-8466-71F488D560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Sheet1!$AJ$6:$AJ$42</c:f>
              <c:numCache>
                <c:formatCode>General</c:formatCode>
                <c:ptCount val="37"/>
                <c:pt idx="35">
                  <c:v>17610</c:v>
                </c:pt>
                <c:pt idx="36">
                  <c:v>60017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7E-4F6D-8466-71F488D5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16656"/>
        <c:axId val="1"/>
      </c:lineChart>
      <c:catAx>
        <c:axId val="108891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ja-JP"/>
          </a:p>
        </c:txPr>
        <c:crossAx val="1088916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PC</a:t>
            </a:r>
            <a:r>
              <a:rPr lang="ja-JP" altLang="en-US"/>
              <a:t>世界出荷台数の歴史的推移</a:t>
            </a:r>
            <a:r>
              <a:rPr lang="en-US" altLang="ja-JP"/>
              <a:t>1975-2011</a:t>
            </a:r>
            <a:r>
              <a:rPr lang="ja-JP" altLang="en-US"/>
              <a:t>（単位：万台）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3874327285392129E-2"/>
          <c:y val="9.6471705898057328E-2"/>
          <c:w val="0.93138499123595708"/>
          <c:h val="0.870571961637325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佐野修正!$D$4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佐野修正!$B$11:$B$47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</c:numCache>
            </c:numRef>
          </c:cat>
          <c:val>
            <c:numRef>
              <c:f>佐野修正!$D$11:$D$47</c:f>
              <c:numCache>
                <c:formatCode>#,##0_ </c:formatCode>
                <c:ptCount val="37"/>
                <c:pt idx="0">
                  <c:v>3.5</c:v>
                </c:pt>
                <c:pt idx="1">
                  <c:v>24</c:v>
                </c:pt>
                <c:pt idx="2">
                  <c:v>130</c:v>
                </c:pt>
                <c:pt idx="3">
                  <c:v>200</c:v>
                </c:pt>
                <c:pt idx="4">
                  <c:v>370</c:v>
                </c:pt>
                <c:pt idx="5">
                  <c:v>502</c:v>
                </c:pt>
                <c:pt idx="6">
                  <c:v>595</c:v>
                </c:pt>
                <c:pt idx="7">
                  <c:v>1190</c:v>
                </c:pt>
                <c:pt idx="8">
                  <c:v>1755</c:v>
                </c:pt>
                <c:pt idx="9">
                  <c:v>1683.8</c:v>
                </c:pt>
                <c:pt idx="10">
                  <c:v>1439.9</c:v>
                </c:pt>
                <c:pt idx="11">
                  <c:v>1830</c:v>
                </c:pt>
                <c:pt idx="12">
                  <c:v>2775</c:v>
                </c:pt>
                <c:pt idx="13">
                  <c:v>3720</c:v>
                </c:pt>
                <c:pt idx="14">
                  <c:v>4588</c:v>
                </c:pt>
                <c:pt idx="15">
                  <c:v>7461.2</c:v>
                </c:pt>
                <c:pt idx="16">
                  <c:v>7841.4</c:v>
                </c:pt>
                <c:pt idx="17">
                  <c:v>9692.7999999999993</c:v>
                </c:pt>
                <c:pt idx="18">
                  <c:v>11611.9</c:v>
                </c:pt>
                <c:pt idx="19">
                  <c:v>13416</c:v>
                </c:pt>
                <c:pt idx="20">
                  <c:v>12482.6</c:v>
                </c:pt>
                <c:pt idx="21">
                  <c:v>12890.2</c:v>
                </c:pt>
                <c:pt idx="22">
                  <c:v>14770.2</c:v>
                </c:pt>
                <c:pt idx="23">
                  <c:v>17319.3</c:v>
                </c:pt>
                <c:pt idx="24">
                  <c:v>19223.3</c:v>
                </c:pt>
                <c:pt idx="25">
                  <c:v>23355.599999999999</c:v>
                </c:pt>
                <c:pt idx="26">
                  <c:v>26341.599999999999</c:v>
                </c:pt>
                <c:pt idx="27">
                  <c:v>28707.8</c:v>
                </c:pt>
                <c:pt idx="28">
                  <c:v>29790.1</c:v>
                </c:pt>
                <c:pt idx="29">
                  <c:v>33797</c:v>
                </c:pt>
                <c:pt idx="30">
                  <c:v>33564.1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E5-4658-AA82-291235E422D2}"/>
            </c:ext>
          </c:extLst>
        </c:ser>
        <c:ser>
          <c:idx val="2"/>
          <c:order val="2"/>
          <c:tx>
            <c:strRef>
              <c:f>佐野修正!$E$4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佐野修正!$B$11:$B$47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</c:numCache>
            </c:numRef>
          </c:cat>
          <c:val>
            <c:numRef>
              <c:f>佐野修正!$E$11:$E$47</c:f>
              <c:numCache>
                <c:formatCode>#,##0_ </c:formatCode>
                <c:ptCount val="37"/>
                <c:pt idx="0">
                  <c:v>21</c:v>
                </c:pt>
                <c:pt idx="1">
                  <c:v>27.9</c:v>
                </c:pt>
                <c:pt idx="2">
                  <c:v>42</c:v>
                </c:pt>
                <c:pt idx="3">
                  <c:v>100</c:v>
                </c:pt>
                <c:pt idx="4">
                  <c:v>90</c:v>
                </c:pt>
                <c:pt idx="5">
                  <c:v>70</c:v>
                </c:pt>
                <c:pt idx="6">
                  <c:v>50</c:v>
                </c:pt>
                <c:pt idx="7">
                  <c:v>20</c:v>
                </c:pt>
                <c:pt idx="8">
                  <c:v>20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E5-4658-AA82-291235E422D2}"/>
            </c:ext>
          </c:extLst>
        </c:ser>
        <c:ser>
          <c:idx val="3"/>
          <c:order val="3"/>
          <c:tx>
            <c:strRef>
              <c:f>佐野修正!$F$4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佐野修正!$B$11:$B$47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</c:numCache>
            </c:numRef>
          </c:cat>
          <c:val>
            <c:numRef>
              <c:f>佐野修正!$F$11:$F$47</c:f>
              <c:numCache>
                <c:formatCode>#,##0_ 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37.200000000000003</c:v>
                </c:pt>
                <c:pt idx="4">
                  <c:v>20</c:v>
                </c:pt>
                <c:pt idx="5">
                  <c:v>38</c:v>
                </c:pt>
                <c:pt idx="6">
                  <c:v>55</c:v>
                </c:pt>
                <c:pt idx="7">
                  <c:v>90</c:v>
                </c:pt>
                <c:pt idx="8">
                  <c:v>110</c:v>
                </c:pt>
                <c:pt idx="9">
                  <c:v>130</c:v>
                </c:pt>
                <c:pt idx="10">
                  <c:v>210</c:v>
                </c:pt>
                <c:pt idx="11">
                  <c:v>250</c:v>
                </c:pt>
                <c:pt idx="12">
                  <c:v>330</c:v>
                </c:pt>
                <c:pt idx="13">
                  <c:v>380</c:v>
                </c:pt>
                <c:pt idx="14">
                  <c:v>412</c:v>
                </c:pt>
                <c:pt idx="15">
                  <c:v>338.8</c:v>
                </c:pt>
                <c:pt idx="16">
                  <c:v>258.60000000000002</c:v>
                </c:pt>
                <c:pt idx="17">
                  <c:v>307.2</c:v>
                </c:pt>
                <c:pt idx="18">
                  <c:v>388.1</c:v>
                </c:pt>
                <c:pt idx="19">
                  <c:v>384</c:v>
                </c:pt>
                <c:pt idx="20">
                  <c:v>317.39999999999998</c:v>
                </c:pt>
                <c:pt idx="21">
                  <c:v>309.8</c:v>
                </c:pt>
                <c:pt idx="22">
                  <c:v>309.8</c:v>
                </c:pt>
                <c:pt idx="23">
                  <c:v>350.7</c:v>
                </c:pt>
                <c:pt idx="24">
                  <c:v>474.2</c:v>
                </c:pt>
                <c:pt idx="25">
                  <c:v>565.5</c:v>
                </c:pt>
                <c:pt idx="26">
                  <c:v>776.4</c:v>
                </c:pt>
                <c:pt idx="27">
                  <c:v>992.2</c:v>
                </c:pt>
                <c:pt idx="28">
                  <c:v>1122.0999999999999</c:v>
                </c:pt>
                <c:pt idx="29">
                  <c:v>1443</c:v>
                </c:pt>
                <c:pt idx="30">
                  <c:v>1780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E5-4658-AA82-291235E4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318944"/>
        <c:axId val="1192425504"/>
      </c:barChart>
      <c:lineChart>
        <c:grouping val="standard"/>
        <c:varyColors val="0"/>
        <c:ser>
          <c:idx val="0"/>
          <c:order val="0"/>
          <c:tx>
            <c:strRef>
              <c:f>佐野修正!$C$4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佐野修正!$B$11:$B$47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</c:numCache>
            </c:numRef>
          </c:cat>
          <c:val>
            <c:numRef>
              <c:f>佐野修正!$C$11:$C$47</c:f>
              <c:numCache>
                <c:formatCode>#,##0_ </c:formatCode>
                <c:ptCount val="37"/>
                <c:pt idx="0">
                  <c:v>140</c:v>
                </c:pt>
                <c:pt idx="1">
                  <c:v>280</c:v>
                </c:pt>
                <c:pt idx="2">
                  <c:v>492</c:v>
                </c:pt>
                <c:pt idx="3">
                  <c:v>632.20000000000005</c:v>
                </c:pt>
                <c:pt idx="4">
                  <c:v>761</c:v>
                </c:pt>
                <c:pt idx="5">
                  <c:v>900</c:v>
                </c:pt>
                <c:pt idx="6">
                  <c:v>920</c:v>
                </c:pt>
                <c:pt idx="7">
                  <c:v>1500</c:v>
                </c:pt>
                <c:pt idx="8">
                  <c:v>2100</c:v>
                </c:pt>
                <c:pt idx="9">
                  <c:v>2000</c:v>
                </c:pt>
                <c:pt idx="10">
                  <c:v>1875</c:v>
                </c:pt>
                <c:pt idx="11">
                  <c:v>2080</c:v>
                </c:pt>
                <c:pt idx="12">
                  <c:v>3105</c:v>
                </c:pt>
                <c:pt idx="13">
                  <c:v>4100</c:v>
                </c:pt>
                <c:pt idx="14">
                  <c:v>5000</c:v>
                </c:pt>
                <c:pt idx="15">
                  <c:v>7800</c:v>
                </c:pt>
                <c:pt idx="16">
                  <c:v>8100</c:v>
                </c:pt>
                <c:pt idx="17">
                  <c:v>10000</c:v>
                </c:pt>
                <c:pt idx="18">
                  <c:v>12000</c:v>
                </c:pt>
                <c:pt idx="19">
                  <c:v>13800</c:v>
                </c:pt>
                <c:pt idx="20">
                  <c:v>12800</c:v>
                </c:pt>
                <c:pt idx="21">
                  <c:v>13200</c:v>
                </c:pt>
                <c:pt idx="22">
                  <c:v>15080</c:v>
                </c:pt>
                <c:pt idx="23">
                  <c:v>17670</c:v>
                </c:pt>
                <c:pt idx="24">
                  <c:v>19697.5</c:v>
                </c:pt>
                <c:pt idx="25">
                  <c:v>23921.1</c:v>
                </c:pt>
                <c:pt idx="26">
                  <c:v>27118</c:v>
                </c:pt>
                <c:pt idx="27">
                  <c:v>29700</c:v>
                </c:pt>
                <c:pt idx="28">
                  <c:v>30912.2</c:v>
                </c:pt>
                <c:pt idx="29">
                  <c:v>35240</c:v>
                </c:pt>
                <c:pt idx="30">
                  <c:v>35344.1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5-4658-AA82-291235E4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318944"/>
        <c:axId val="1192425504"/>
      </c:lineChart>
      <c:catAx>
        <c:axId val="123531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2425504"/>
        <c:crosses val="autoZero"/>
        <c:auto val="1"/>
        <c:lblAlgn val="ctr"/>
        <c:lblOffset val="100"/>
        <c:noMultiLvlLbl val="0"/>
      </c:catAx>
      <c:valAx>
        <c:axId val="119242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531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45393201282368"/>
          <c:y val="0.22920225333279126"/>
          <c:w val="0.26162131624806911"/>
          <c:h val="2.972279719988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979474782932"/>
          <c:y val="7.5144535181840735E-2"/>
          <c:w val="0.63972645529648386"/>
          <c:h val="0.78323727054918602"/>
        </c:manualLayout>
      </c:layout>
      <c:areaChart>
        <c:grouping val="stacked"/>
        <c:varyColors val="0"/>
        <c:ser>
          <c:idx val="2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Sheet1!$B$13:$B$20</c:f>
              <c:numCache>
                <c:formatCode>General</c:formatCode>
                <c:ptCount val="8"/>
                <c:pt idx="0">
                  <c:v>240</c:v>
                </c:pt>
                <c:pt idx="1">
                  <c:v>1300</c:v>
                </c:pt>
                <c:pt idx="2">
                  <c:v>2000</c:v>
                </c:pt>
                <c:pt idx="3">
                  <c:v>3700</c:v>
                </c:pt>
                <c:pt idx="4">
                  <c:v>5020</c:v>
                </c:pt>
                <c:pt idx="5">
                  <c:v>5950</c:v>
                </c:pt>
                <c:pt idx="6">
                  <c:v>11900</c:v>
                </c:pt>
                <c:pt idx="7">
                  <c:v>17550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4-4FDA-80B3-5F4349F48B8D}"/>
            </c:ext>
          </c:extLst>
        </c:ser>
        <c:ser>
          <c:idx val="3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Sheet1!$C$13:$C$20</c:f>
              <c:numCache>
                <c:formatCode>General</c:formatCode>
                <c:ptCount val="8"/>
                <c:pt idx="0">
                  <c:v>279</c:v>
                </c:pt>
                <c:pt idx="1">
                  <c:v>420</c:v>
                </c:pt>
                <c:pt idx="2">
                  <c:v>1000</c:v>
                </c:pt>
                <c:pt idx="3">
                  <c:v>900</c:v>
                </c:pt>
                <c:pt idx="4">
                  <c:v>700</c:v>
                </c:pt>
                <c:pt idx="5">
                  <c:v>500</c:v>
                </c:pt>
                <c:pt idx="6">
                  <c:v>200</c:v>
                </c:pt>
                <c:pt idx="7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4-4FDA-80B3-5F4349F48B8D}"/>
            </c:ext>
          </c:extLst>
        </c:ser>
        <c:ser>
          <c:idx val="4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Sheet1!$D$13:$D$20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372</c:v>
                </c:pt>
                <c:pt idx="3">
                  <c:v>200</c:v>
                </c:pt>
                <c:pt idx="4">
                  <c:v>380</c:v>
                </c:pt>
                <c:pt idx="5">
                  <c:v>550</c:v>
                </c:pt>
                <c:pt idx="6">
                  <c:v>900</c:v>
                </c:pt>
                <c:pt idx="7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4-4FDA-80B3-5F4349F48B8D}"/>
            </c:ext>
          </c:extLst>
        </c:ser>
        <c:ser>
          <c:idx val="5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Sheet1!$E$13:$E$20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24-4FDA-80B3-5F4349F48B8D}"/>
            </c:ext>
          </c:extLst>
        </c:ser>
        <c:ser>
          <c:idx val="6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FCF30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Sheet1!$F$13:$F$20</c:f>
              <c:numCache>
                <c:formatCode>General</c:formatCode>
                <c:ptCount val="8"/>
                <c:pt idx="0">
                  <c:v>600</c:v>
                </c:pt>
                <c:pt idx="1">
                  <c:v>500</c:v>
                </c:pt>
                <c:pt idx="2">
                  <c:v>200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4-4FDA-80B3-5F4349F48B8D}"/>
            </c:ext>
          </c:extLst>
        </c:ser>
        <c:ser>
          <c:idx val="7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Sheet1!$G$13:$G$20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350</c:v>
                </c:pt>
                <c:pt idx="7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24-4FDA-80B3-5F4349F48B8D}"/>
            </c:ext>
          </c:extLst>
        </c:ser>
        <c:ser>
          <c:idx val="8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Sheet1!$H$13:$H$20</c:f>
              <c:numCache>
                <c:formatCode>General</c:formatCode>
                <c:ptCount val="8"/>
                <c:pt idx="0">
                  <c:v>200</c:v>
                </c:pt>
                <c:pt idx="1">
                  <c:v>2000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1500</c:v>
                </c:pt>
                <c:pt idx="6">
                  <c:v>1250</c:v>
                </c:pt>
                <c:pt idx="7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24-4FDA-80B3-5F4349F48B8D}"/>
            </c:ext>
          </c:extLst>
        </c:ser>
        <c:ser>
          <c:idx val="9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Sheet1!$I$13:$I$20</c:f>
              <c:numCache>
                <c:formatCode>General</c:formatCode>
                <c:ptCount val="8"/>
                <c:pt idx="0">
                  <c:v>300</c:v>
                </c:pt>
                <c:pt idx="1">
                  <c:v>200</c:v>
                </c:pt>
                <c:pt idx="2">
                  <c:v>50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4-4FDA-80B3-5F4349F48B8D}"/>
            </c:ext>
          </c:extLst>
        </c:ser>
        <c:ser>
          <c:idx val="10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Sheet1!$J$13:$J$20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24-4FDA-80B3-5F4349F48B8D}"/>
            </c:ext>
          </c:extLst>
        </c:ser>
        <c:ser>
          <c:idx val="0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Sheet1!$A$13:$A$20</c:f>
              <c:numCache>
                <c:formatCode>General</c:formatCode>
                <c:ptCount val="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</c:numCache>
            </c:numRef>
          </c:cat>
          <c:val>
            <c:numRef>
              <c:f>Sheet1!$L$13:$L$20</c:f>
              <c:numCache>
                <c:formatCode>General</c:formatCode>
                <c:ptCount val="8"/>
                <c:pt idx="0">
                  <c:v>1181</c:v>
                </c:pt>
                <c:pt idx="1">
                  <c:v>500</c:v>
                </c:pt>
                <c:pt idx="2">
                  <c:v>200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24-4FDA-80B3-5F4349F48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549312"/>
        <c:axId val="1"/>
      </c:areaChart>
      <c:catAx>
        <c:axId val="10825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82549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27486090612529"/>
          <c:y val="0.16633205556625899"/>
          <c:w val="0.22070790074601604"/>
          <c:h val="0.60001993050895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9912780721918"/>
          <c:y val="7.5144535181840735E-2"/>
          <c:w val="0.6402185575170477"/>
          <c:h val="0.78323727054918602"/>
        </c:manualLayout>
      </c:layout>
      <c:areaChart>
        <c:grouping val="stacked"/>
        <c:varyColors val="0"/>
        <c:ser>
          <c:idx val="4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Sheet1!$B$21:$B$26</c:f>
              <c:numCache>
                <c:formatCode>General</c:formatCode>
                <c:ptCount val="6"/>
                <c:pt idx="0">
                  <c:v>16838</c:v>
                </c:pt>
                <c:pt idx="1">
                  <c:v>14399</c:v>
                </c:pt>
                <c:pt idx="2">
                  <c:v>18300</c:v>
                </c:pt>
                <c:pt idx="3">
                  <c:v>27750</c:v>
                </c:pt>
                <c:pt idx="4">
                  <c:v>37200</c:v>
                </c:pt>
                <c:pt idx="5">
                  <c:v>45880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7-42D8-BB85-BF2AD64DF032}"/>
            </c:ext>
          </c:extLst>
        </c:ser>
        <c:ser>
          <c:idx val="5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Sheet1!$C$21:$C$26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7-42D8-BB85-BF2AD64DF032}"/>
            </c:ext>
          </c:extLst>
        </c:ser>
        <c:ser>
          <c:idx val="6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Sheet1!$D$21:$D$26</c:f>
              <c:numCache>
                <c:formatCode>General</c:formatCode>
                <c:ptCount val="6"/>
                <c:pt idx="0">
                  <c:v>1300</c:v>
                </c:pt>
                <c:pt idx="1">
                  <c:v>2100</c:v>
                </c:pt>
                <c:pt idx="2">
                  <c:v>2500</c:v>
                </c:pt>
                <c:pt idx="3">
                  <c:v>3300</c:v>
                </c:pt>
                <c:pt idx="4">
                  <c:v>3800</c:v>
                </c:pt>
                <c:pt idx="5">
                  <c:v>4120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7-42D8-BB85-BF2AD64DF032}"/>
            </c:ext>
          </c:extLst>
        </c:ser>
        <c:ser>
          <c:idx val="7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Sheet1!$E$21:$E$26</c:f>
              <c:numCache>
                <c:formatCode>General</c:formatCode>
                <c:ptCount val="6"/>
                <c:pt idx="0">
                  <c:v>750</c:v>
                </c:pt>
                <c:pt idx="1">
                  <c:v>1035</c:v>
                </c:pt>
                <c:pt idx="2">
                  <c:v>390</c:v>
                </c:pt>
                <c:pt idx="3">
                  <c:v>155</c:v>
                </c:pt>
                <c:pt idx="4">
                  <c:v>50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27-42D8-BB85-BF2AD64DF032}"/>
            </c:ext>
          </c:extLst>
        </c:ser>
        <c:ser>
          <c:idx val="8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00ABE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Sheet1!$F$21:$F$26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27-42D8-BB85-BF2AD64DF032}"/>
            </c:ext>
          </c:extLst>
        </c:ser>
        <c:ser>
          <c:idx val="9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Sheet1!$G$21:$G$26</c:f>
              <c:numCache>
                <c:formatCode>General</c:formatCode>
                <c:ptCount val="6"/>
                <c:pt idx="0">
                  <c:v>300</c:v>
                </c:pt>
                <c:pt idx="1">
                  <c:v>300</c:v>
                </c:pt>
                <c:pt idx="2">
                  <c:v>120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27-42D8-BB85-BF2AD64DF032}"/>
            </c:ext>
          </c:extLst>
        </c:ser>
        <c:ser>
          <c:idx val="10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Sheet1!$H$21:$H$26</c:f>
              <c:numCache>
                <c:formatCode>General</c:formatCode>
                <c:ptCount val="6"/>
                <c:pt idx="0">
                  <c:v>700</c:v>
                </c:pt>
                <c:pt idx="1">
                  <c:v>800</c:v>
                </c:pt>
                <c:pt idx="2">
                  <c:v>300</c:v>
                </c:pt>
                <c:pt idx="3">
                  <c:v>175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7-42D8-BB85-BF2AD64DF032}"/>
            </c:ext>
          </c:extLst>
        </c:ser>
        <c:ser>
          <c:idx val="0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Sheet1!$I$21:$I$26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27-42D8-BB85-BF2AD64DF032}"/>
            </c:ext>
          </c:extLst>
        </c:ser>
        <c:ser>
          <c:idx val="1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Sheet1!$J$21:$J$26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27-42D8-BB85-BF2AD64DF032}"/>
            </c:ext>
          </c:extLst>
        </c:ser>
        <c:ser>
          <c:idx val="2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Sheet1!$A$21:$A$26</c:f>
              <c:numCache>
                <c:formatCode>General</c:formatCode>
                <c:ptCount val="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</c:numCache>
            </c:numRef>
          </c:cat>
          <c:val>
            <c:numRef>
              <c:f>Sheet1!$L$21:$L$26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27-42D8-BB85-BF2AD64DF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399712"/>
        <c:axId val="1"/>
      </c:areaChart>
      <c:catAx>
        <c:axId val="167739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6773997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862320708164933"/>
          <c:y val="0.25613095673086506"/>
          <c:w val="0.21882511233641264"/>
          <c:h val="0.420422128179746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06593406593408E-2"/>
          <c:y val="7.1005994092223856E-2"/>
          <c:w val="0.69230769230769229"/>
          <c:h val="0.73372860561964659"/>
        </c:manualLayout>
      </c:layout>
      <c:lineChart>
        <c:grouping val="standard"/>
        <c:varyColors val="0"/>
        <c:ser>
          <c:idx val="0"/>
          <c:order val="0"/>
          <c:tx>
            <c:strRef>
              <c:f>Sheet1!$P$5</c:f>
              <c:strCache>
                <c:ptCount val="1"/>
                <c:pt idx="0">
                  <c:v>Mac share</c:v>
                </c:pt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cat>
            <c:numRef>
              <c:f>Sheet1!$A$6:$A$34</c:f>
              <c:numCache>
                <c:formatCode>General</c:formatCode>
                <c:ptCount val="2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</c:numCache>
            </c:numRef>
          </c:cat>
          <c:val>
            <c:numRef>
              <c:f>Sheet1!$P$6:$P$42</c:f>
              <c:numCache>
                <c:formatCode>General</c:formatCode>
                <c:ptCount val="37"/>
                <c:pt idx="9" formatCode="0%">
                  <c:v>0.06</c:v>
                </c:pt>
                <c:pt idx="10" formatCode="0.00%">
                  <c:v>2.5999999999999999E-2</c:v>
                </c:pt>
                <c:pt idx="11" formatCode="0.00%">
                  <c:v>4.2000000000000003E-2</c:v>
                </c:pt>
                <c:pt idx="12" formatCode="0%">
                  <c:v>0.06</c:v>
                </c:pt>
                <c:pt idx="13" formatCode="0%">
                  <c:v>0.06</c:v>
                </c:pt>
                <c:pt idx="14" formatCode="0%">
                  <c:v>0.05</c:v>
                </c:pt>
                <c:pt idx="15" formatCode="0%">
                  <c:v>0.05</c:v>
                </c:pt>
                <c:pt idx="16" formatCode="0.00%">
                  <c:v>0.112</c:v>
                </c:pt>
                <c:pt idx="17" formatCode="0%">
                  <c:v>0.12</c:v>
                </c:pt>
                <c:pt idx="18" formatCode="0%">
                  <c:v>0.1</c:v>
                </c:pt>
                <c:pt idx="19" formatCode="0.00%">
                  <c:v>9.2999999999999999E-2</c:v>
                </c:pt>
                <c:pt idx="20" formatCode="0%">
                  <c:v>0.09</c:v>
                </c:pt>
                <c:pt idx="21" formatCode="0.00%">
                  <c:v>5.0999999999999997E-2</c:v>
                </c:pt>
                <c:pt idx="22" formatCode="0.00%">
                  <c:v>3.4500000000000003E-2</c:v>
                </c:pt>
                <c:pt idx="23" formatCode="0.00%">
                  <c:v>3.0720000000000001E-2</c:v>
                </c:pt>
                <c:pt idx="24" formatCode="0.00%">
                  <c:v>3.2341666666666664E-2</c:v>
                </c:pt>
                <c:pt idx="25" formatCode="0.00%">
                  <c:v>2.782608695652174E-2</c:v>
                </c:pt>
                <c:pt idx="26" formatCode="0.00%">
                  <c:v>2.4796874999999999E-2</c:v>
                </c:pt>
                <c:pt idx="27" formatCode="0.00%">
                  <c:v>2.346969696969697E-2</c:v>
                </c:pt>
                <c:pt idx="28" formatCode="0.00%">
                  <c:v>2.0543766578249335E-2</c:v>
                </c:pt>
                <c:pt idx="29" formatCode="0.00%">
                  <c:v>1.9847198641765703E-2</c:v>
                </c:pt>
                <c:pt idx="30" formatCode="0.00%">
                  <c:v>2.4074121081355503E-2</c:v>
                </c:pt>
                <c:pt idx="31" formatCode="0.00%">
                  <c:v>2.3640217214091326E-2</c:v>
                </c:pt>
                <c:pt idx="32" formatCode="0.00%">
                  <c:v>2.8630429972711851E-2</c:v>
                </c:pt>
                <c:pt idx="33" formatCode="0.00%">
                  <c:v>3.3407407407407406E-2</c:v>
                </c:pt>
                <c:pt idx="34" formatCode="0.00%">
                  <c:v>3.6299583983022882E-2</c:v>
                </c:pt>
                <c:pt idx="35" formatCode="0.00%">
                  <c:v>4.0947786606129397E-2</c:v>
                </c:pt>
                <c:pt idx="36" formatCode="0.00%">
                  <c:v>5.0362012330205042E-2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6-4417-9D24-01CEE1B71C57}"/>
            </c:ext>
          </c:extLst>
        </c:ser>
        <c:ser>
          <c:idx val="1"/>
          <c:order val="1"/>
          <c:tx>
            <c:strRef>
              <c:f>Sheet1!$Q$5</c:f>
              <c:strCache>
                <c:ptCount val="1"/>
                <c:pt idx="0">
                  <c:v>Amiga share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Sheet1!$A$6:$A$34</c:f>
              <c:numCache>
                <c:formatCode>General</c:formatCode>
                <c:ptCount val="2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</c:numCache>
            </c:numRef>
          </c:cat>
          <c:val>
            <c:numRef>
              <c:f>Sheet1!$Q$6:$Q$35</c:f>
              <c:numCache>
                <c:formatCode>General</c:formatCode>
                <c:ptCount val="30"/>
                <c:pt idx="10" formatCode="0.00%">
                  <c:v>1.3140604467805518E-2</c:v>
                </c:pt>
                <c:pt idx="11" formatCode="0.00%">
                  <c:v>2.2222222222222223E-2</c:v>
                </c:pt>
                <c:pt idx="12" formatCode="0.00%">
                  <c:v>3.2608695652173912E-2</c:v>
                </c:pt>
                <c:pt idx="13" formatCode="0.00%">
                  <c:v>2.6666666666666668E-2</c:v>
                </c:pt>
                <c:pt idx="14" formatCode="0.00%">
                  <c:v>2.8571428571428571E-2</c:v>
                </c:pt>
                <c:pt idx="15" formatCode="0.00%">
                  <c:v>3.7499999999999999E-2</c:v>
                </c:pt>
                <c:pt idx="16" formatCode="0.00%">
                  <c:v>5.5199999999999999E-2</c:v>
                </c:pt>
                <c:pt idx="17" formatCode="0.00%">
                  <c:v>1.8749999999999999E-2</c:v>
                </c:pt>
                <c:pt idx="18" formatCode="0.00%">
                  <c:v>4.9919484702093397E-3</c:v>
                </c:pt>
                <c:pt idx="19" formatCode="0.00%">
                  <c:v>1.2195121951219512E-3</c:v>
                </c:pt>
                <c:pt idx="20" formatCode="0.00%">
                  <c:v>8.4000000000000003E-4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6-4417-9D24-01CEE1B71C57}"/>
            </c:ext>
          </c:extLst>
        </c:ser>
        <c:ser>
          <c:idx val="2"/>
          <c:order val="2"/>
          <c:tx>
            <c:strRef>
              <c:f>Sheet1!$R$5</c:f>
              <c:strCache>
                <c:ptCount val="1"/>
                <c:pt idx="0">
                  <c:v>PC Share</c:v>
                </c:pt>
              </c:strCache>
            </c:strRef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cat>
            <c:numRef>
              <c:f>Sheet1!$A$6:$A$34</c:f>
              <c:numCache>
                <c:formatCode>General</c:formatCode>
                <c:ptCount val="2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</c:numCache>
            </c:numRef>
          </c:cat>
          <c:val>
            <c:numRef>
              <c:f>Sheet1!$R$6:$R$35</c:f>
              <c:numCache>
                <c:formatCode>General</c:formatCode>
                <c:ptCount val="30"/>
                <c:pt idx="6" formatCode="0.00%">
                  <c:v>2.5000000000000001E-2</c:v>
                </c:pt>
                <c:pt idx="7" formatCode="0.00%">
                  <c:v>8.5714285714285715E-2</c:v>
                </c:pt>
                <c:pt idx="8" formatCode="0.00%">
                  <c:v>0.26422764227642276</c:v>
                </c:pt>
                <c:pt idx="9" formatCode="0.00%">
                  <c:v>0.31635558367605188</c:v>
                </c:pt>
                <c:pt idx="10" formatCode="0.00%">
                  <c:v>0.48620236530880423</c:v>
                </c:pt>
                <c:pt idx="11" formatCode="0.00%">
                  <c:v>0.55777777777777782</c:v>
                </c:pt>
                <c:pt idx="12" formatCode="0.00%">
                  <c:v>0.64673913043478259</c:v>
                </c:pt>
                <c:pt idx="13" formatCode="0.00%">
                  <c:v>0.79333333333333333</c:v>
                </c:pt>
                <c:pt idx="14" formatCode="0.00%">
                  <c:v>0.83571428571428574</c:v>
                </c:pt>
                <c:pt idx="15" formatCode="0.00%">
                  <c:v>0.84189999999999998</c:v>
                </c:pt>
                <c:pt idx="16" formatCode="0.00%">
                  <c:v>0.76794666666666667</c:v>
                </c:pt>
                <c:pt idx="17" formatCode="0.00%">
                  <c:v>0.87980769230769229</c:v>
                </c:pt>
                <c:pt idx="18" formatCode="0.00%">
                  <c:v>0.893719806763285</c:v>
                </c:pt>
                <c:pt idx="19" formatCode="0.00%">
                  <c:v>0.90731707317073174</c:v>
                </c:pt>
                <c:pt idx="20" formatCode="0.00%">
                  <c:v>0.91759999999999997</c:v>
                </c:pt>
                <c:pt idx="21" formatCode="0.00%">
                  <c:v>0.95656410256410251</c:v>
                </c:pt>
                <c:pt idx="22" formatCode="0.00%">
                  <c:v>0.96807407407407409</c:v>
                </c:pt>
                <c:pt idx="23" formatCode="0.00%">
                  <c:v>0.96928000000000003</c:v>
                </c:pt>
                <c:pt idx="24" formatCode="0.00%">
                  <c:v>0.96765833333333329</c:v>
                </c:pt>
                <c:pt idx="25" formatCode="0.00%">
                  <c:v>0.97217391304347822</c:v>
                </c:pt>
                <c:pt idx="26" formatCode="0.00%">
                  <c:v>0.97520312499999995</c:v>
                </c:pt>
                <c:pt idx="27" formatCode="0.00%">
                  <c:v>0.97653030303030308</c:v>
                </c:pt>
                <c:pt idx="28" formatCode="0.00%">
                  <c:v>0.9794562334217507</c:v>
                </c:pt>
                <c:pt idx="29" formatCode="0.00%">
                  <c:v>0.98015280135823435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6-4417-9D24-01CEE1B71C57}"/>
            </c:ext>
          </c:extLst>
        </c:ser>
        <c:ser>
          <c:idx val="3"/>
          <c:order val="3"/>
          <c:tx>
            <c:strRef>
              <c:f>Sheet1!$S$5</c:f>
              <c:strCache>
                <c:ptCount val="1"/>
                <c:pt idx="0">
                  <c:v>Commodore 64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Sheet1!$A$6:$A$34</c:f>
              <c:numCache>
                <c:formatCode>General</c:formatCode>
                <c:ptCount val="2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</c:numCache>
            </c:numRef>
          </c:cat>
          <c:val>
            <c:numRef>
              <c:f>Sheet1!$S$6:$S$35</c:f>
              <c:numCache>
                <c:formatCode>General</c:formatCode>
                <c:ptCount val="30"/>
                <c:pt idx="7" formatCode="0.00%">
                  <c:v>7.1428571428571425E-2</c:v>
                </c:pt>
                <c:pt idx="8" formatCode="0.00%">
                  <c:v>0.4065040650406504</c:v>
                </c:pt>
                <c:pt idx="9" formatCode="0.00%">
                  <c:v>0.39544447959506485</c:v>
                </c:pt>
                <c:pt idx="10" formatCode="0.00%">
                  <c:v>0.32851511169513797</c:v>
                </c:pt>
                <c:pt idx="11" formatCode="0.00%">
                  <c:v>0.27777777777777779</c:v>
                </c:pt>
                <c:pt idx="12" formatCode="0.00%">
                  <c:v>0.16304347826086957</c:v>
                </c:pt>
                <c:pt idx="13" formatCode="0.00%">
                  <c:v>8.3333333333333329E-2</c:v>
                </c:pt>
                <c:pt idx="14" formatCode="0.00%">
                  <c:v>5.9523809523809521E-2</c:v>
                </c:pt>
                <c:pt idx="15" formatCode="0.00%">
                  <c:v>3.5000000000000003E-2</c:v>
                </c:pt>
                <c:pt idx="16" formatCode="0.00%">
                  <c:v>4.2666666666666665E-2</c:v>
                </c:pt>
                <c:pt idx="17" formatCode="0.00%">
                  <c:v>1.4423076923076924E-2</c:v>
                </c:pt>
                <c:pt idx="18" formatCode="0.00%">
                  <c:v>5.6360708534621577E-3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06-4417-9D24-01CEE1B71C57}"/>
            </c:ext>
          </c:extLst>
        </c:ser>
        <c:ser>
          <c:idx val="4"/>
          <c:order val="4"/>
          <c:tx>
            <c:strRef>
              <c:f>Sheet1!$U$5</c:f>
              <c:strCache>
                <c:ptCount val="1"/>
                <c:pt idx="0">
                  <c:v>Atari ST</c:v>
                </c:pt>
              </c:strCache>
            </c:strRef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1FB714"/>
                </a:solidFill>
                <a:prstDash val="solid"/>
              </a:ln>
            </c:spPr>
          </c:marker>
          <c:cat>
            <c:numRef>
              <c:f>Sheet1!$A$6:$A$34</c:f>
              <c:numCache>
                <c:formatCode>General</c:formatCode>
                <c:ptCount val="2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</c:numCache>
            </c:numRef>
          </c:cat>
          <c:val>
            <c:numRef>
              <c:f>Sheet1!$U$6:$U$35</c:f>
              <c:numCache>
                <c:formatCode>0.00%</c:formatCode>
                <c:ptCount val="30"/>
                <c:pt idx="10">
                  <c:v>1.3140604467805518E-2</c:v>
                </c:pt>
                <c:pt idx="11">
                  <c:v>2.2222222222222223E-2</c:v>
                </c:pt>
                <c:pt idx="12">
                  <c:v>4.3478260869565216E-2</c:v>
                </c:pt>
                <c:pt idx="13">
                  <c:v>2.3333333333333334E-2</c:v>
                </c:pt>
                <c:pt idx="14">
                  <c:v>1.4285714285714285E-2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5.7692307692307696E-3</c:v>
                </c:pt>
                <c:pt idx="18">
                  <c:v>9.6618357487922703E-4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06-4417-9D24-01CEE1B71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000256"/>
        <c:axId val="1"/>
      </c:lineChart>
      <c:catAx>
        <c:axId val="109300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00256"/>
        <c:crosses val="autoZero"/>
        <c:crossBetween val="between"/>
        <c:min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48508565687247"/>
          <c:y val="0.28810960691567444"/>
          <c:w val="0.20637299030027006"/>
          <c:h val="0.29332898385255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14326479901112E-2"/>
          <c:y val="7.4928032966758498E-2"/>
          <c:w val="0.70389643866827889"/>
          <c:h val="0.7838624987291658"/>
        </c:manualLayout>
      </c:layout>
      <c:areaChart>
        <c:grouping val="stacked"/>
        <c:varyColors val="0"/>
        <c:ser>
          <c:idx val="4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Sheet1!$B$8:$B$11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0-4DAF-81F8-8EBECC4859B4}"/>
            </c:ext>
          </c:extLst>
        </c:ser>
        <c:ser>
          <c:idx val="5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Sheet1!$C$8:$C$11</c:f>
              <c:numCache>
                <c:formatCode>General</c:formatCode>
                <c:ptCount val="4"/>
                <c:pt idx="0">
                  <c:v>0.6</c:v>
                </c:pt>
                <c:pt idx="1">
                  <c:v>7.6</c:v>
                </c:pt>
                <c:pt idx="2">
                  <c:v>35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0-4DAF-81F8-8EBECC4859B4}"/>
            </c:ext>
          </c:extLst>
        </c:ser>
        <c:ser>
          <c:idx val="6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Sheet1!$D$8:$D$11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0-4DAF-81F8-8EBECC4859B4}"/>
            </c:ext>
          </c:extLst>
        </c:ser>
        <c:ser>
          <c:idx val="7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Sheet1!$E$8:$E$11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0-4DAF-81F8-8EBECC4859B4}"/>
            </c:ext>
          </c:extLst>
        </c:ser>
        <c:ser>
          <c:idx val="8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FCF30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Sheet1!$F$8:$F$11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0-4DAF-81F8-8EBECC4859B4}"/>
            </c:ext>
          </c:extLst>
        </c:ser>
        <c:ser>
          <c:idx val="9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Sheet1!$G$8:$G$11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0-4DAF-81F8-8EBECC4859B4}"/>
            </c:ext>
          </c:extLst>
        </c:ser>
        <c:ser>
          <c:idx val="10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Sheet1!$H$8:$H$11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0-4DAF-81F8-8EBECC4859B4}"/>
            </c:ext>
          </c:extLst>
        </c:ser>
        <c:ser>
          <c:idx val="0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Sheet1!$I$8:$I$11</c:f>
              <c:numCache>
                <c:formatCode>General</c:formatCode>
                <c:ptCount val="4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90-4DAF-81F8-8EBECC4859B4}"/>
            </c:ext>
          </c:extLst>
        </c:ser>
        <c:ser>
          <c:idx val="1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Sheet1!$J$8:$J$11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90-4DAF-81F8-8EBECC4859B4}"/>
            </c:ext>
          </c:extLst>
        </c:ser>
        <c:ser>
          <c:idx val="2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Sheet1!$A$8:$A$11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Sheet1!$L$8:$L$11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90-4DAF-81F8-8EBECC4859B4}"/>
            </c:ext>
          </c:extLst>
        </c:ser>
        <c:ser>
          <c:idx val="3"/>
          <c:order val="10"/>
          <c:tx>
            <c:strRef>
              <c:f>Sheet1!$K$5</c:f>
              <c:strCache>
                <c:ptCount val="1"/>
                <c:pt idx="0">
                  <c:v>PET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Sheet1!$K$8:$K$11</c:f>
              <c:numCache>
                <c:formatCode>General</c:formatCode>
                <c:ptCount val="4"/>
                <c:pt idx="0">
                  <c:v>4</c:v>
                </c:pt>
                <c:pt idx="1">
                  <c:v>30</c:v>
                </c:pt>
                <c:pt idx="2">
                  <c:v>45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90-4DAF-81F8-8EBECC485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01216"/>
        <c:axId val="1"/>
      </c:areaChart>
      <c:catAx>
        <c:axId val="109300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01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81558111621228291"/>
          <c:y val="0.31809934897938674"/>
          <c:w val="0.17289430746952483"/>
          <c:h val="0.29878980383367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03058627278253E-2"/>
          <c:y val="7.4928032966758498E-2"/>
          <c:w val="0.67055729258034624"/>
          <c:h val="0.7838624987291658"/>
        </c:manualLayout>
      </c:layout>
      <c:areaChart>
        <c:grouping val="stacked"/>
        <c:varyColors val="0"/>
        <c:ser>
          <c:idx val="2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Sheet1!$B$11:$B$15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>
                  <c:v>240</c:v>
                </c:pt>
                <c:pt idx="3">
                  <c:v>1300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2-4996-882D-33EE2BAF8888}"/>
            </c:ext>
          </c:extLst>
        </c:ser>
        <c:ser>
          <c:idx val="3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Sheet1!$C$11:$C$15</c:f>
              <c:numCache>
                <c:formatCode>General</c:formatCode>
                <c:ptCount val="5"/>
                <c:pt idx="0">
                  <c:v>78</c:v>
                </c:pt>
                <c:pt idx="1">
                  <c:v>210</c:v>
                </c:pt>
                <c:pt idx="2">
                  <c:v>279</c:v>
                </c:pt>
                <c:pt idx="3">
                  <c:v>420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2-4996-882D-33EE2BAF8888}"/>
            </c:ext>
          </c:extLst>
        </c:ser>
        <c:ser>
          <c:idx val="4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Sheet1!$D$11:$D$15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2-4996-882D-33EE2BAF8888}"/>
            </c:ext>
          </c:extLst>
        </c:ser>
        <c:ser>
          <c:idx val="5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32-4996-882D-33EE2BAF8888}"/>
            </c:ext>
          </c:extLst>
        </c:ser>
        <c:ser>
          <c:idx val="6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FCF30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Sheet1!$F$11:$F$15</c:f>
              <c:numCache>
                <c:formatCode>General</c:formatCode>
                <c:ptCount val="5"/>
                <c:pt idx="0">
                  <c:v>200</c:v>
                </c:pt>
                <c:pt idx="1">
                  <c:v>300</c:v>
                </c:pt>
                <c:pt idx="2">
                  <c:v>600</c:v>
                </c:pt>
                <c:pt idx="3">
                  <c:v>500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32-4996-882D-33EE2BAF8888}"/>
            </c:ext>
          </c:extLst>
        </c:ser>
        <c:ser>
          <c:idx val="7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Sheet1!$G$11:$G$15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32-4996-882D-33EE2BAF8888}"/>
            </c:ext>
          </c:extLst>
        </c:ser>
        <c:ser>
          <c:idx val="8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Sheet1!$H$11:$H$15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200</c:v>
                </c:pt>
                <c:pt idx="3">
                  <c:v>2000</c:v>
                </c:pt>
                <c:pt idx="4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32-4996-882D-33EE2BAF8888}"/>
            </c:ext>
          </c:extLst>
        </c:ser>
        <c:ser>
          <c:idx val="9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Sheet1!$I$11:$I$15</c:f>
              <c:numCache>
                <c:formatCode>General</c:formatCode>
                <c:ptCount val="5"/>
                <c:pt idx="0">
                  <c:v>290</c:v>
                </c:pt>
                <c:pt idx="1">
                  <c:v>250</c:v>
                </c:pt>
                <c:pt idx="2">
                  <c:v>300</c:v>
                </c:pt>
                <c:pt idx="3">
                  <c:v>200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32-4996-882D-33EE2BAF8888}"/>
            </c:ext>
          </c:extLst>
        </c:ser>
        <c:ser>
          <c:idx val="10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Sheet1!$J$11:$J$15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32-4996-882D-33EE2BAF8888}"/>
            </c:ext>
          </c:extLst>
        </c:ser>
        <c:ser>
          <c:idx val="0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Sheet1!$A$11:$A$15</c:f>
              <c:numCache>
                <c:formatCode>General</c:formatCode>
                <c:ptCount val="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</c:numCache>
            </c:numRef>
          </c:cat>
          <c:val>
            <c:numRef>
              <c:f>Sheet1!$L$11:$L$15</c:f>
              <c:numCache>
                <c:formatCode>General</c:formatCode>
                <c:ptCount val="5"/>
                <c:pt idx="0">
                  <c:v>424</c:v>
                </c:pt>
                <c:pt idx="1">
                  <c:v>605</c:v>
                </c:pt>
                <c:pt idx="2">
                  <c:v>1181</c:v>
                </c:pt>
                <c:pt idx="3">
                  <c:v>500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32-4996-882D-33EE2BAF8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17536"/>
        <c:axId val="1"/>
      </c:areaChart>
      <c:catAx>
        <c:axId val="109301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17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7967825018100978"/>
          <c:y val="0.22968195804901409"/>
          <c:w val="0.20746993893705504"/>
          <c:h val="0.47765716939396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643727160357E-2"/>
          <c:y val="7.4928032966758498E-2"/>
          <c:w val="0.65844187159560397"/>
          <c:h val="0.7838624987291658"/>
        </c:manualLayout>
      </c:layout>
      <c:areaChart>
        <c:grouping val="stacked"/>
        <c:varyColors val="0"/>
        <c:ser>
          <c:idx val="2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Sheet1!$B$15:$B$18</c:f>
              <c:numCache>
                <c:formatCode>General</c:formatCode>
                <c:ptCount val="4"/>
                <c:pt idx="0">
                  <c:v>2000</c:v>
                </c:pt>
                <c:pt idx="1">
                  <c:v>3700</c:v>
                </c:pt>
                <c:pt idx="2">
                  <c:v>5020</c:v>
                </c:pt>
                <c:pt idx="3">
                  <c:v>5950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8-41D1-A36C-41BE4B3F52F7}"/>
            </c:ext>
          </c:extLst>
        </c:ser>
        <c:ser>
          <c:idx val="3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Sheet1!$C$15:$C$18</c:f>
              <c:numCache>
                <c:formatCode>General</c:formatCode>
                <c:ptCount val="4"/>
                <c:pt idx="0">
                  <c:v>1000</c:v>
                </c:pt>
                <c:pt idx="1">
                  <c:v>900</c:v>
                </c:pt>
                <c:pt idx="2">
                  <c:v>700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8-41D1-A36C-41BE4B3F52F7}"/>
            </c:ext>
          </c:extLst>
        </c:ser>
        <c:ser>
          <c:idx val="4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Sheet1!$D$15:$D$18</c:f>
              <c:numCache>
                <c:formatCode>General</c:formatCode>
                <c:ptCount val="4"/>
                <c:pt idx="0">
                  <c:v>372</c:v>
                </c:pt>
                <c:pt idx="1">
                  <c:v>200</c:v>
                </c:pt>
                <c:pt idx="2">
                  <c:v>380</c:v>
                </c:pt>
                <c:pt idx="3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68-41D1-A36C-41BE4B3F52F7}"/>
            </c:ext>
          </c:extLst>
        </c:ser>
        <c:ser>
          <c:idx val="5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Sheet1!$E$15:$E$18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68-41D1-A36C-41BE4B3F52F7}"/>
            </c:ext>
          </c:extLst>
        </c:ser>
        <c:ser>
          <c:idx val="6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FCF30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Sheet1!$F$15:$F$18</c:f>
              <c:numCache>
                <c:formatCode>General</c:formatCode>
                <c:ptCount val="4"/>
                <c:pt idx="0">
                  <c:v>200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68-41D1-A36C-41BE4B3F52F7}"/>
            </c:ext>
          </c:extLst>
        </c:ser>
        <c:ser>
          <c:idx val="7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Sheet1!$G$15:$G$18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68-41D1-A36C-41BE4B3F52F7}"/>
            </c:ext>
          </c:extLst>
        </c:ser>
        <c:ser>
          <c:idx val="8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Sheet1!$H$15:$H$18</c:f>
              <c:numCache>
                <c:formatCode>General</c:formatCode>
                <c:ptCount val="4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68-41D1-A36C-41BE4B3F52F7}"/>
            </c:ext>
          </c:extLst>
        </c:ser>
        <c:ser>
          <c:idx val="9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Sheet1!$I$15:$I$18</c:f>
              <c:numCache>
                <c:formatCode>General</c:formatCode>
                <c:ptCount val="4"/>
                <c:pt idx="0">
                  <c:v>50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68-41D1-A36C-41BE4B3F52F7}"/>
            </c:ext>
          </c:extLst>
        </c:ser>
        <c:ser>
          <c:idx val="10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Sheet1!$J$15:$J$18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68-41D1-A36C-41BE4B3F52F7}"/>
            </c:ext>
          </c:extLst>
        </c:ser>
        <c:ser>
          <c:idx val="0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Sheet1!$A$15:$A$18</c:f>
              <c:numCache>
                <c:formatCode>General</c:formatCode>
                <c:ptCount val="4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</c:numCache>
            </c:numRef>
          </c:cat>
          <c:val>
            <c:numRef>
              <c:f>Sheet1!$L$15:$L$18</c:f>
              <c:numCache>
                <c:formatCode>General</c:formatCode>
                <c:ptCount val="4"/>
                <c:pt idx="0">
                  <c:v>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68-41D1-A36C-41BE4B3F5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22336"/>
        <c:axId val="1"/>
      </c:areaChart>
      <c:catAx>
        <c:axId val="109302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22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7948162425875323"/>
          <c:y val="0.19716061885623332"/>
          <c:w val="0.20854357203500015"/>
          <c:h val="0.53761838853065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643727160357E-2"/>
          <c:y val="7.5144535181840735E-2"/>
          <c:w val="0.65844187159560397"/>
          <c:h val="0.78323727054918602"/>
        </c:manualLayout>
      </c:layout>
      <c:areaChart>
        <c:grouping val="stacked"/>
        <c:varyColors val="0"/>
        <c:ser>
          <c:idx val="2"/>
          <c:order val="0"/>
          <c:tx>
            <c:strRef>
              <c:f>Sheet1!$B$5</c:f>
              <c:strCache>
                <c:ptCount val="1"/>
                <c:pt idx="0">
                  <c:v>IBM PC + clones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Sheet1!$B$18:$B$21</c:f>
              <c:numCache>
                <c:formatCode>General</c:formatCode>
                <c:ptCount val="4"/>
                <c:pt idx="0">
                  <c:v>5950</c:v>
                </c:pt>
                <c:pt idx="1">
                  <c:v>11900</c:v>
                </c:pt>
                <c:pt idx="2">
                  <c:v>17550</c:v>
                </c:pt>
                <c:pt idx="3">
                  <c:v>16838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A-4219-8572-A82A68B22F6C}"/>
            </c:ext>
          </c:extLst>
        </c:ser>
        <c:ser>
          <c:idx val="3"/>
          <c:order val="1"/>
          <c:tx>
            <c:strRef>
              <c:f>Sheet1!$C$5</c:f>
              <c:strCache>
                <c:ptCount val="1"/>
                <c:pt idx="0">
                  <c:v>Apple II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Sheet1!$C$18:$C$21</c:f>
              <c:numCache>
                <c:formatCode>General</c:formatCode>
                <c:ptCount val="4"/>
                <c:pt idx="0">
                  <c:v>500</c:v>
                </c:pt>
                <c:pt idx="1">
                  <c:v>200</c:v>
                </c:pt>
                <c:pt idx="2">
                  <c:v>200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A-4219-8572-A82A68B22F6C}"/>
            </c:ext>
          </c:extLst>
        </c:ser>
        <c:ser>
          <c:idx val="4"/>
          <c:order val="2"/>
          <c:tx>
            <c:strRef>
              <c:f>Sheet1!$D$5</c:f>
              <c:strCache>
                <c:ptCount val="1"/>
                <c:pt idx="0">
                  <c:v>Macintosh</c:v>
                </c:pt>
              </c:strCache>
            </c:strRef>
          </c:tx>
          <c:spPr>
            <a:solidFill>
              <a:srgbClr val="F2088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Sheet1!$D$18:$D$21</c:f>
              <c:numCache>
                <c:formatCode>General</c:formatCode>
                <c:ptCount val="4"/>
                <c:pt idx="0">
                  <c:v>550</c:v>
                </c:pt>
                <c:pt idx="1">
                  <c:v>900</c:v>
                </c:pt>
                <c:pt idx="2">
                  <c:v>1100</c:v>
                </c:pt>
                <c:pt idx="3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A-4219-8572-A82A68B22F6C}"/>
            </c:ext>
          </c:extLst>
        </c:ser>
        <c:ser>
          <c:idx val="5"/>
          <c:order val="3"/>
          <c:tx>
            <c:strRef>
              <c:f>Sheet1!$E$5</c:f>
              <c:strCache>
                <c:ptCount val="1"/>
                <c:pt idx="0">
                  <c:v>Amiga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Sheet1!$E$18:$E$21</c:f>
              <c:numCache>
                <c:formatCode>General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600</c:v>
                </c:pt>
                <c:pt idx="3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4A-4219-8572-A82A68B22F6C}"/>
            </c:ext>
          </c:extLst>
        </c:ser>
        <c:ser>
          <c:idx val="6"/>
          <c:order val="4"/>
          <c:tx>
            <c:strRef>
              <c:f>Sheet1!$F$5</c:f>
              <c:strCache>
                <c:ptCount val="1"/>
                <c:pt idx="0">
                  <c:v>Atari 400/800</c:v>
                </c:pt>
              </c:strCache>
            </c:strRef>
          </c:tx>
          <c:spPr>
            <a:solidFill>
              <a:srgbClr val="FCF30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Sheet1!$F$18:$F$21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4A-4219-8572-A82A68B22F6C}"/>
            </c:ext>
          </c:extLst>
        </c:ser>
        <c:ser>
          <c:idx val="7"/>
          <c:order val="5"/>
          <c:tx>
            <c:strRef>
              <c:f>Sheet1!$G$5</c:f>
              <c:strCache>
                <c:ptCount val="1"/>
                <c:pt idx="0">
                  <c:v>Atari ST</c:v>
                </c:pt>
              </c:strCache>
            </c:strRef>
          </c:tx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Sheet1!$G$18:$G$21</c:f>
              <c:numCache>
                <c:formatCode>General</c:formatCode>
                <c:ptCount val="4"/>
                <c:pt idx="0">
                  <c:v>400</c:v>
                </c:pt>
                <c:pt idx="1">
                  <c:v>350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4A-4219-8572-A82A68B22F6C}"/>
            </c:ext>
          </c:extLst>
        </c:ser>
        <c:ser>
          <c:idx val="8"/>
          <c:order val="6"/>
          <c:tx>
            <c:strRef>
              <c:f>Sheet1!$H$5</c:f>
              <c:strCache>
                <c:ptCount val="1"/>
                <c:pt idx="0">
                  <c:v>Commodore 64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Sheet1!$H$18:$H$21</c:f>
              <c:numCache>
                <c:formatCode>General</c:formatCode>
                <c:ptCount val="4"/>
                <c:pt idx="0">
                  <c:v>1500</c:v>
                </c:pt>
                <c:pt idx="1">
                  <c:v>1250</c:v>
                </c:pt>
                <c:pt idx="2">
                  <c:v>1250</c:v>
                </c:pt>
                <c:pt idx="3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4A-4219-8572-A82A68B22F6C}"/>
            </c:ext>
          </c:extLst>
        </c:ser>
        <c:ser>
          <c:idx val="9"/>
          <c:order val="7"/>
          <c:tx>
            <c:strRef>
              <c:f>Sheet1!$I$5</c:f>
              <c:strCache>
                <c:ptCount val="1"/>
                <c:pt idx="0">
                  <c:v>TRS-80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Sheet1!$I$18:$I$21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4A-4219-8572-A82A68B22F6C}"/>
            </c:ext>
          </c:extLst>
        </c:ser>
        <c:ser>
          <c:idx val="10"/>
          <c:order val="8"/>
          <c:tx>
            <c:strRef>
              <c:f>Sheet1!$J$5</c:f>
              <c:strCache>
                <c:ptCount val="1"/>
                <c:pt idx="0">
                  <c:v>NeXT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Sheet1!$J$18:$J$21</c:f>
              <c:numCache>
                <c:formatCode>General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4A-4219-8572-A82A68B22F6C}"/>
            </c:ext>
          </c:extLst>
        </c:ser>
        <c:ser>
          <c:idx val="0"/>
          <c:order val="9"/>
          <c:tx>
            <c:strRef>
              <c:f>Sheet1!$L$5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Sheet1!$A$18:$A$21</c:f>
              <c:numCache>
                <c:formatCode>General</c:formatCode>
                <c:ptCount val="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</c:numCache>
            </c:numRef>
          </c:cat>
          <c:val>
            <c:numRef>
              <c:f>Sheet1!$L$18:$L$21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4A-4219-8572-A82A68B22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27616"/>
        <c:axId val="1"/>
      </c:areaChart>
      <c:catAx>
        <c:axId val="109302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3027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7957998792171346"/>
          <c:y val="0.22347681085282647"/>
          <c:w val="0.2084509773861366"/>
          <c:h val="0.47960776758369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108</xdr:row>
      <xdr:rowOff>66675</xdr:rowOff>
    </xdr:from>
    <xdr:to>
      <xdr:col>15</xdr:col>
      <xdr:colOff>471488</xdr:colOff>
      <xdr:row>140</xdr:row>
      <xdr:rowOff>57150</xdr:rowOff>
    </xdr:to>
    <xdr:graphicFrame macro="">
      <xdr:nvGraphicFramePr>
        <xdr:cNvPr id="1435096" name="Chart 7">
          <a:extLst>
            <a:ext uri="{FF2B5EF4-FFF2-40B4-BE49-F238E27FC236}">
              <a16:creationId xmlns:a16="http://schemas.microsoft.com/office/drawing/2014/main" id="{664EAA6A-41F6-2606-2F56-FD5DAC4B5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80963</xdr:colOff>
      <xdr:row>131</xdr:row>
      <xdr:rowOff>133350</xdr:rowOff>
    </xdr:from>
    <xdr:to>
      <xdr:col>16</xdr:col>
      <xdr:colOff>52388</xdr:colOff>
      <xdr:row>160</xdr:row>
      <xdr:rowOff>104775</xdr:rowOff>
    </xdr:to>
    <xdr:graphicFrame macro="">
      <xdr:nvGraphicFramePr>
        <xdr:cNvPr id="1435097" name="Chart 8">
          <a:extLst>
            <a:ext uri="{FF2B5EF4-FFF2-40B4-BE49-F238E27FC236}">
              <a16:creationId xmlns:a16="http://schemas.microsoft.com/office/drawing/2014/main" id="{6648AA62-DC8E-0666-BCC0-C67D5EA3A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80963</xdr:colOff>
      <xdr:row>161</xdr:row>
      <xdr:rowOff>133350</xdr:rowOff>
    </xdr:from>
    <xdr:to>
      <xdr:col>11</xdr:col>
      <xdr:colOff>457200</xdr:colOff>
      <xdr:row>190</xdr:row>
      <xdr:rowOff>104775</xdr:rowOff>
    </xdr:to>
    <xdr:graphicFrame macro="">
      <xdr:nvGraphicFramePr>
        <xdr:cNvPr id="1435098" name="Chart 9">
          <a:extLst>
            <a:ext uri="{FF2B5EF4-FFF2-40B4-BE49-F238E27FC236}">
              <a16:creationId xmlns:a16="http://schemas.microsoft.com/office/drawing/2014/main" id="{F64AE809-7485-F97D-BF76-D1A712335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61913</xdr:colOff>
      <xdr:row>191</xdr:row>
      <xdr:rowOff>38100</xdr:rowOff>
    </xdr:from>
    <xdr:to>
      <xdr:col>11</xdr:col>
      <xdr:colOff>447675</xdr:colOff>
      <xdr:row>220</xdr:row>
      <xdr:rowOff>9525</xdr:rowOff>
    </xdr:to>
    <xdr:graphicFrame macro="">
      <xdr:nvGraphicFramePr>
        <xdr:cNvPr id="1435099" name="Chart 10">
          <a:extLst>
            <a:ext uri="{FF2B5EF4-FFF2-40B4-BE49-F238E27FC236}">
              <a16:creationId xmlns:a16="http://schemas.microsoft.com/office/drawing/2014/main" id="{9117E455-8AA8-A2E6-D1C0-0B2399009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80963</xdr:colOff>
      <xdr:row>220</xdr:row>
      <xdr:rowOff>123825</xdr:rowOff>
    </xdr:from>
    <xdr:to>
      <xdr:col>11</xdr:col>
      <xdr:colOff>438150</xdr:colOff>
      <xdr:row>248</xdr:row>
      <xdr:rowOff>152400</xdr:rowOff>
    </xdr:to>
    <xdr:graphicFrame macro="">
      <xdr:nvGraphicFramePr>
        <xdr:cNvPr id="1435100" name="Chart 11">
          <a:extLst>
            <a:ext uri="{FF2B5EF4-FFF2-40B4-BE49-F238E27FC236}">
              <a16:creationId xmlns:a16="http://schemas.microsoft.com/office/drawing/2014/main" id="{D652F24F-05D8-63A2-0320-5F620035D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9525</xdr:colOff>
      <xdr:row>166</xdr:row>
      <xdr:rowOff>123825</xdr:rowOff>
    </xdr:from>
    <xdr:to>
      <xdr:col>17</xdr:col>
      <xdr:colOff>461963</xdr:colOff>
      <xdr:row>195</xdr:row>
      <xdr:rowOff>114300</xdr:rowOff>
    </xdr:to>
    <xdr:graphicFrame macro="">
      <xdr:nvGraphicFramePr>
        <xdr:cNvPr id="1435101" name="Chart 12">
          <a:extLst>
            <a:ext uri="{FF2B5EF4-FFF2-40B4-BE49-F238E27FC236}">
              <a16:creationId xmlns:a16="http://schemas.microsoft.com/office/drawing/2014/main" id="{D05735EE-FA1A-70B1-7C74-33E898347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133350</xdr:colOff>
      <xdr:row>196</xdr:row>
      <xdr:rowOff>133350</xdr:rowOff>
    </xdr:from>
    <xdr:to>
      <xdr:col>17</xdr:col>
      <xdr:colOff>590550</xdr:colOff>
      <xdr:row>225</xdr:row>
      <xdr:rowOff>123825</xdr:rowOff>
    </xdr:to>
    <xdr:graphicFrame macro="">
      <xdr:nvGraphicFramePr>
        <xdr:cNvPr id="1435102" name="Chart 13">
          <a:extLst>
            <a:ext uri="{FF2B5EF4-FFF2-40B4-BE49-F238E27FC236}">
              <a16:creationId xmlns:a16="http://schemas.microsoft.com/office/drawing/2014/main" id="{B7C96183-BF9A-9C9C-740C-13BF91B95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142875</xdr:colOff>
      <xdr:row>221</xdr:row>
      <xdr:rowOff>66675</xdr:rowOff>
    </xdr:from>
    <xdr:to>
      <xdr:col>17</xdr:col>
      <xdr:colOff>590550</xdr:colOff>
      <xdr:row>250</xdr:row>
      <xdr:rowOff>57150</xdr:rowOff>
    </xdr:to>
    <xdr:graphicFrame macro="">
      <xdr:nvGraphicFramePr>
        <xdr:cNvPr id="1435103" name="Chart 14">
          <a:extLst>
            <a:ext uri="{FF2B5EF4-FFF2-40B4-BE49-F238E27FC236}">
              <a16:creationId xmlns:a16="http://schemas.microsoft.com/office/drawing/2014/main" id="{37E637D3-4F90-DC12-BC53-B0BEFC20E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652463</xdr:colOff>
      <xdr:row>260</xdr:row>
      <xdr:rowOff>152400</xdr:rowOff>
    </xdr:from>
    <xdr:to>
      <xdr:col>26</xdr:col>
      <xdr:colOff>614363</xdr:colOff>
      <xdr:row>289</xdr:row>
      <xdr:rowOff>123825</xdr:rowOff>
    </xdr:to>
    <xdr:graphicFrame macro="">
      <xdr:nvGraphicFramePr>
        <xdr:cNvPr id="1435104" name="Chart 15">
          <a:extLst>
            <a:ext uri="{FF2B5EF4-FFF2-40B4-BE49-F238E27FC236}">
              <a16:creationId xmlns:a16="http://schemas.microsoft.com/office/drawing/2014/main" id="{9E16E022-AE40-016C-E4E1-C2CC2B9C1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600075</xdr:colOff>
      <xdr:row>281</xdr:row>
      <xdr:rowOff>19050</xdr:rowOff>
    </xdr:from>
    <xdr:to>
      <xdr:col>26</xdr:col>
      <xdr:colOff>571500</xdr:colOff>
      <xdr:row>310</xdr:row>
      <xdr:rowOff>19050</xdr:rowOff>
    </xdr:to>
    <xdr:graphicFrame macro="">
      <xdr:nvGraphicFramePr>
        <xdr:cNvPr id="1435105" name="Chart 16">
          <a:extLst>
            <a:ext uri="{FF2B5EF4-FFF2-40B4-BE49-F238E27FC236}">
              <a16:creationId xmlns:a16="http://schemas.microsoft.com/office/drawing/2014/main" id="{34E88F5F-3D17-068C-AC43-7DBBF6053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642938</xdr:colOff>
      <xdr:row>311</xdr:row>
      <xdr:rowOff>152400</xdr:rowOff>
    </xdr:from>
    <xdr:to>
      <xdr:col>26</xdr:col>
      <xdr:colOff>623888</xdr:colOff>
      <xdr:row>340</xdr:row>
      <xdr:rowOff>152400</xdr:rowOff>
    </xdr:to>
    <xdr:graphicFrame macro="">
      <xdr:nvGraphicFramePr>
        <xdr:cNvPr id="1435106" name="Chart 17">
          <a:extLst>
            <a:ext uri="{FF2B5EF4-FFF2-40B4-BE49-F238E27FC236}">
              <a16:creationId xmlns:a16="http://schemas.microsoft.com/office/drawing/2014/main" id="{A6CCFA1C-5C6D-646F-9049-A864FBB29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114300</xdr:colOff>
      <xdr:row>344</xdr:row>
      <xdr:rowOff>19050</xdr:rowOff>
    </xdr:from>
    <xdr:to>
      <xdr:col>27</xdr:col>
      <xdr:colOff>204788</xdr:colOff>
      <xdr:row>373</xdr:row>
      <xdr:rowOff>28575</xdr:rowOff>
    </xdr:to>
    <xdr:graphicFrame macro="">
      <xdr:nvGraphicFramePr>
        <xdr:cNvPr id="1435107" name="Chart 18">
          <a:extLst>
            <a:ext uri="{FF2B5EF4-FFF2-40B4-BE49-F238E27FC236}">
              <a16:creationId xmlns:a16="http://schemas.microsoft.com/office/drawing/2014/main" id="{CF0FD90D-3A2B-998C-95BE-28909A7FC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276225</xdr:colOff>
      <xdr:row>109</xdr:row>
      <xdr:rowOff>142875</xdr:rowOff>
    </xdr:from>
    <xdr:to>
      <xdr:col>17</xdr:col>
      <xdr:colOff>390525</xdr:colOff>
      <xdr:row>140</xdr:row>
      <xdr:rowOff>142875</xdr:rowOff>
    </xdr:to>
    <xdr:graphicFrame macro="">
      <xdr:nvGraphicFramePr>
        <xdr:cNvPr id="1435108" name="Chart 14">
          <a:extLst>
            <a:ext uri="{FF2B5EF4-FFF2-40B4-BE49-F238E27FC236}">
              <a16:creationId xmlns:a16="http://schemas.microsoft.com/office/drawing/2014/main" id="{1A6A8677-6278-F4C1-4CC4-D7D9C2B94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90488</xdr:colOff>
      <xdr:row>122</xdr:row>
      <xdr:rowOff>66675</xdr:rowOff>
    </xdr:from>
    <xdr:to>
      <xdr:col>5</xdr:col>
      <xdr:colOff>614363</xdr:colOff>
      <xdr:row>140</xdr:row>
      <xdr:rowOff>66675</xdr:rowOff>
    </xdr:to>
    <xdr:graphicFrame macro="">
      <xdr:nvGraphicFramePr>
        <xdr:cNvPr id="1435109" name="Chart 15">
          <a:extLst>
            <a:ext uri="{FF2B5EF4-FFF2-40B4-BE49-F238E27FC236}">
              <a16:creationId xmlns:a16="http://schemas.microsoft.com/office/drawing/2014/main" id="{1C65E8FD-D763-F74C-BA6B-43A6E53D2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276225</xdr:colOff>
      <xdr:row>95</xdr:row>
      <xdr:rowOff>38100</xdr:rowOff>
    </xdr:from>
    <xdr:to>
      <xdr:col>5</xdr:col>
      <xdr:colOff>785813</xdr:colOff>
      <xdr:row>113</xdr:row>
      <xdr:rowOff>38100</xdr:rowOff>
    </xdr:to>
    <xdr:graphicFrame macro="">
      <xdr:nvGraphicFramePr>
        <xdr:cNvPr id="1435110" name="Chart 17">
          <a:extLst>
            <a:ext uri="{FF2B5EF4-FFF2-40B4-BE49-F238E27FC236}">
              <a16:creationId xmlns:a16="http://schemas.microsoft.com/office/drawing/2014/main" id="{D175C707-C525-96FB-2193-A87F23600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204788</xdr:colOff>
      <xdr:row>54</xdr:row>
      <xdr:rowOff>166688</xdr:rowOff>
    </xdr:from>
    <xdr:to>
      <xdr:col>28</xdr:col>
      <xdr:colOff>481013</xdr:colOff>
      <xdr:row>73</xdr:row>
      <xdr:rowOff>57150</xdr:rowOff>
    </xdr:to>
    <xdr:graphicFrame macro="">
      <xdr:nvGraphicFramePr>
        <xdr:cNvPr id="1435111" name="Chart 2">
          <a:extLst>
            <a:ext uri="{FF2B5EF4-FFF2-40B4-BE49-F238E27FC236}">
              <a16:creationId xmlns:a16="http://schemas.microsoft.com/office/drawing/2014/main" id="{DEB2825C-F3A5-C3E6-1C8B-1CA7836FC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214313</xdr:colOff>
      <xdr:row>74</xdr:row>
      <xdr:rowOff>0</xdr:rowOff>
    </xdr:from>
    <xdr:to>
      <xdr:col>28</xdr:col>
      <xdr:colOff>490538</xdr:colOff>
      <xdr:row>94</xdr:row>
      <xdr:rowOff>142875</xdr:rowOff>
    </xdr:to>
    <xdr:graphicFrame macro="">
      <xdr:nvGraphicFramePr>
        <xdr:cNvPr id="1435112" name="Chart 20">
          <a:extLst>
            <a:ext uri="{FF2B5EF4-FFF2-40B4-BE49-F238E27FC236}">
              <a16:creationId xmlns:a16="http://schemas.microsoft.com/office/drawing/2014/main" id="{BEFDFE43-2E98-77D9-4F32-DEE61B9A8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242888</xdr:colOff>
      <xdr:row>103</xdr:row>
      <xdr:rowOff>28575</xdr:rowOff>
    </xdr:from>
    <xdr:to>
      <xdr:col>28</xdr:col>
      <xdr:colOff>519113</xdr:colOff>
      <xdr:row>131</xdr:row>
      <xdr:rowOff>66675</xdr:rowOff>
    </xdr:to>
    <xdr:graphicFrame macro="">
      <xdr:nvGraphicFramePr>
        <xdr:cNvPr id="1435113" name="Chart 23">
          <a:extLst>
            <a:ext uri="{FF2B5EF4-FFF2-40B4-BE49-F238E27FC236}">
              <a16:creationId xmlns:a16="http://schemas.microsoft.com/office/drawing/2014/main" id="{415D7CFB-596E-793D-3DF4-276FB8527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233363</xdr:colOff>
      <xdr:row>134</xdr:row>
      <xdr:rowOff>19050</xdr:rowOff>
    </xdr:from>
    <xdr:to>
      <xdr:col>30</xdr:col>
      <xdr:colOff>561975</xdr:colOff>
      <xdr:row>164</xdr:row>
      <xdr:rowOff>57150</xdr:rowOff>
    </xdr:to>
    <xdr:graphicFrame macro="">
      <xdr:nvGraphicFramePr>
        <xdr:cNvPr id="1435114" name="Chart 25">
          <a:extLst>
            <a:ext uri="{FF2B5EF4-FFF2-40B4-BE49-F238E27FC236}">
              <a16:creationId xmlns:a16="http://schemas.microsoft.com/office/drawing/2014/main" id="{48CF682A-6451-92EA-1071-9A8BB281C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223838</xdr:colOff>
      <xdr:row>165</xdr:row>
      <xdr:rowOff>95250</xdr:rowOff>
    </xdr:from>
    <xdr:to>
      <xdr:col>30</xdr:col>
      <xdr:colOff>552450</xdr:colOff>
      <xdr:row>195</xdr:row>
      <xdr:rowOff>133350</xdr:rowOff>
    </xdr:to>
    <xdr:graphicFrame macro="">
      <xdr:nvGraphicFramePr>
        <xdr:cNvPr id="1435115" name="Chart 27">
          <a:extLst>
            <a:ext uri="{FF2B5EF4-FFF2-40B4-BE49-F238E27FC236}">
              <a16:creationId xmlns:a16="http://schemas.microsoft.com/office/drawing/2014/main" id="{F6DDA164-6A2E-0525-732B-DF37058BB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266700</xdr:colOff>
      <xdr:row>197</xdr:row>
      <xdr:rowOff>76200</xdr:rowOff>
    </xdr:from>
    <xdr:to>
      <xdr:col>30</xdr:col>
      <xdr:colOff>590550</xdr:colOff>
      <xdr:row>227</xdr:row>
      <xdr:rowOff>114300</xdr:rowOff>
    </xdr:to>
    <xdr:graphicFrame macro="">
      <xdr:nvGraphicFramePr>
        <xdr:cNvPr id="1435116" name="Chart 29">
          <a:extLst>
            <a:ext uri="{FF2B5EF4-FFF2-40B4-BE49-F238E27FC236}">
              <a16:creationId xmlns:a16="http://schemas.microsoft.com/office/drawing/2014/main" id="{E90FFAC6-046D-90C6-5BF8-52C7F8148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31</xdr:col>
      <xdr:colOff>71438</xdr:colOff>
      <xdr:row>73</xdr:row>
      <xdr:rowOff>152400</xdr:rowOff>
    </xdr:from>
    <xdr:to>
      <xdr:col>43</xdr:col>
      <xdr:colOff>614363</xdr:colOff>
      <xdr:row>99</xdr:row>
      <xdr:rowOff>161925</xdr:rowOff>
    </xdr:to>
    <xdr:graphicFrame macro="">
      <xdr:nvGraphicFramePr>
        <xdr:cNvPr id="1435117" name="Chart 30">
          <a:extLst>
            <a:ext uri="{FF2B5EF4-FFF2-40B4-BE49-F238E27FC236}">
              <a16:creationId xmlns:a16="http://schemas.microsoft.com/office/drawing/2014/main" id="{CBC1B382-8A96-DE61-A4F5-EA691B259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31</xdr:col>
      <xdr:colOff>100013</xdr:colOff>
      <xdr:row>100</xdr:row>
      <xdr:rowOff>123825</xdr:rowOff>
    </xdr:from>
    <xdr:to>
      <xdr:col>44</xdr:col>
      <xdr:colOff>9525</xdr:colOff>
      <xdr:row>134</xdr:row>
      <xdr:rowOff>28575</xdr:rowOff>
    </xdr:to>
    <xdr:graphicFrame macro="">
      <xdr:nvGraphicFramePr>
        <xdr:cNvPr id="1435118" name="Chart 31">
          <a:extLst>
            <a:ext uri="{FF2B5EF4-FFF2-40B4-BE49-F238E27FC236}">
              <a16:creationId xmlns:a16="http://schemas.microsoft.com/office/drawing/2014/main" id="{2ECD7961-7AE9-C786-4219-1AB1CD111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31</xdr:col>
      <xdr:colOff>328613</xdr:colOff>
      <xdr:row>135</xdr:row>
      <xdr:rowOff>128588</xdr:rowOff>
    </xdr:from>
    <xdr:to>
      <xdr:col>44</xdr:col>
      <xdr:colOff>233363</xdr:colOff>
      <xdr:row>169</xdr:row>
      <xdr:rowOff>28575</xdr:rowOff>
    </xdr:to>
    <xdr:graphicFrame macro="">
      <xdr:nvGraphicFramePr>
        <xdr:cNvPr id="1435119" name="Chart 31">
          <a:extLst>
            <a:ext uri="{FF2B5EF4-FFF2-40B4-BE49-F238E27FC236}">
              <a16:creationId xmlns:a16="http://schemas.microsoft.com/office/drawing/2014/main" id="{6A7ADD56-6BA6-0085-5AB5-9AD21B4F6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285750</xdr:colOff>
      <xdr:row>170</xdr:row>
      <xdr:rowOff>142875</xdr:rowOff>
    </xdr:from>
    <xdr:to>
      <xdr:col>44</xdr:col>
      <xdr:colOff>195263</xdr:colOff>
      <xdr:row>204</xdr:row>
      <xdr:rowOff>47625</xdr:rowOff>
    </xdr:to>
    <xdr:graphicFrame macro="">
      <xdr:nvGraphicFramePr>
        <xdr:cNvPr id="1435120" name="Chart 31">
          <a:extLst>
            <a:ext uri="{FF2B5EF4-FFF2-40B4-BE49-F238E27FC236}">
              <a16:creationId xmlns:a16="http://schemas.microsoft.com/office/drawing/2014/main" id="{81E8EB2B-AB0D-D3A3-B759-6361D24D0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257175</xdr:colOff>
      <xdr:row>228</xdr:row>
      <xdr:rowOff>114300</xdr:rowOff>
    </xdr:from>
    <xdr:to>
      <xdr:col>30</xdr:col>
      <xdr:colOff>581025</xdr:colOff>
      <xdr:row>258</xdr:row>
      <xdr:rowOff>152400</xdr:rowOff>
    </xdr:to>
    <xdr:graphicFrame macro="">
      <xdr:nvGraphicFramePr>
        <xdr:cNvPr id="1435121" name="Chart 29">
          <a:extLst>
            <a:ext uri="{FF2B5EF4-FFF2-40B4-BE49-F238E27FC236}">
              <a16:creationId xmlns:a16="http://schemas.microsoft.com/office/drawing/2014/main" id="{B7B1E2CD-2604-8318-46C0-F94C147C4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0.0031</cdr:x>
      <cdr:y>0.12869</cdr:y>
    </cdr:from>
    <cdr:to>
      <cdr:x>0.11434</cdr:x>
      <cdr:y>0.18768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528639"/>
          <a:ext cx="866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baseline="0"/>
            <a:t>Percent</a:t>
          </a:r>
        </a:p>
      </cdr:txBody>
    </cdr:sp>
  </cdr:relSizeAnchor>
  <cdr:relSizeAnchor xmlns:cdr="http://schemas.openxmlformats.org/drawingml/2006/chartDrawing">
    <cdr:from>
      <cdr:x>0.4224</cdr:x>
      <cdr:y>0.12149</cdr:y>
    </cdr:from>
    <cdr:to>
      <cdr:x>0.80402</cdr:x>
      <cdr:y>0.17684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499" y="552450"/>
          <a:ext cx="2867026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*</a:t>
          </a:r>
          <a:r>
            <a:rPr lang="en-US" sz="1200" b="1" baseline="0"/>
            <a:t> </a:t>
          </a:r>
          <a:r>
            <a:rPr lang="en-US" sz="1200" b="1"/>
            <a:t>2012 data is for the first</a:t>
          </a:r>
          <a:r>
            <a:rPr lang="en-US" sz="1200" b="1" baseline="0"/>
            <a:t> half of the year</a:t>
          </a:r>
          <a:endParaRPr lang="en-US" sz="12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0.0031</cdr:x>
      <cdr:y>0.12893</cdr:y>
    </cdr:from>
    <cdr:to>
      <cdr:x>0.11409</cdr:x>
      <cdr:y>0.18817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528639"/>
          <a:ext cx="866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baseline="0"/>
            <a:t>Percent</a:t>
          </a:r>
        </a:p>
      </cdr:txBody>
    </cdr:sp>
  </cdr:relSizeAnchor>
  <cdr:relSizeAnchor xmlns:cdr="http://schemas.openxmlformats.org/drawingml/2006/chartDrawing">
    <cdr:from>
      <cdr:x>0.42216</cdr:x>
      <cdr:y>0.12173</cdr:y>
    </cdr:from>
    <cdr:to>
      <cdr:x>0.80476</cdr:x>
      <cdr:y>0.17733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499" y="552450"/>
          <a:ext cx="2867026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*</a:t>
          </a:r>
          <a:r>
            <a:rPr lang="en-US" sz="1200" b="1" baseline="0"/>
            <a:t> </a:t>
          </a:r>
          <a:r>
            <a:rPr lang="en-US" sz="1200" b="1"/>
            <a:t>2012 data is for the first</a:t>
          </a:r>
          <a:r>
            <a:rPr lang="en-US" sz="1200" b="1" baseline="0"/>
            <a:t> quarter</a:t>
          </a:r>
          <a:endParaRPr lang="en-US" sz="1200" b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0.0031</cdr:x>
      <cdr:y>0.13011</cdr:y>
    </cdr:from>
    <cdr:to>
      <cdr:x>0.27541</cdr:x>
      <cdr:y>0.18957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813" y="528629"/>
          <a:ext cx="2132837" cy="238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baseline="0"/>
            <a:t>Unit sales (thousands)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43</xdr:row>
      <xdr:rowOff>28575</xdr:rowOff>
    </xdr:from>
    <xdr:to>
      <xdr:col>21</xdr:col>
      <xdr:colOff>571500</xdr:colOff>
      <xdr:row>87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8FAEC7-C970-999A-2EA7-323AF9847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0.12295</cdr:y>
    </cdr:from>
    <cdr:to>
      <cdr:x>0.16379</cdr:x>
      <cdr:y>0.19647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557" y="433403"/>
          <a:ext cx="1069292" cy="254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0" baseline="0"/>
            <a:t>Percent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0.00335</cdr:x>
      <cdr:y>0.11809</cdr:y>
    </cdr:from>
    <cdr:to>
      <cdr:x>0.19204</cdr:x>
      <cdr:y>0.19209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71" y="494142"/>
          <a:ext cx="1193804" cy="305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0" baseline="0"/>
            <a:t>Percent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0.00335</cdr:x>
      <cdr:y>0.11444</cdr:y>
    </cdr:from>
    <cdr:to>
      <cdr:x>0.18083</cdr:x>
      <cdr:y>0.186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71" y="494142"/>
          <a:ext cx="1127129" cy="305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0" baseline="0"/>
            <a:t>Percent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0.0031</cdr:x>
      <cdr:y>0.13012</cdr:y>
    </cdr:from>
    <cdr:to>
      <cdr:x>0.11434</cdr:x>
      <cdr:y>0.18958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528639"/>
          <a:ext cx="866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baseline="0"/>
            <a:t>Percent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0.0031</cdr:x>
      <cdr:y>0.13011</cdr:y>
    </cdr:from>
    <cdr:to>
      <cdr:x>0.11434</cdr:x>
      <cdr:y>0.18957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528639"/>
          <a:ext cx="866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baseline="0"/>
            <a:t>Percent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0.0031</cdr:x>
      <cdr:y>0.13011</cdr:y>
    </cdr:from>
    <cdr:to>
      <cdr:x>0.27615</cdr:x>
      <cdr:y>0.18957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813" y="528629"/>
          <a:ext cx="2132837" cy="238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0" baseline="0"/>
            <a:t>Unit sales (thousands)</a:t>
          </a:r>
        </a:p>
      </cdr:txBody>
    </cdr:sp>
  </cdr:relSizeAnchor>
  <cdr:relSizeAnchor xmlns:cdr="http://schemas.openxmlformats.org/drawingml/2006/chartDrawing">
    <cdr:from>
      <cdr:x>0.78464</cdr:x>
      <cdr:y>0.61614</cdr:y>
    </cdr:from>
    <cdr:to>
      <cdr:x>0.98871</cdr:x>
      <cdr:y>0.66214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34075" y="2917825"/>
          <a:ext cx="1571625" cy="238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 baseline="0"/>
            <a:t>IBM PC + clones</a:t>
          </a:r>
        </a:p>
      </cdr:txBody>
    </cdr:sp>
  </cdr:relSizeAnchor>
  <cdr:relSizeAnchor xmlns:cdr="http://schemas.openxmlformats.org/drawingml/2006/chartDrawing">
    <cdr:from>
      <cdr:x>0.77527</cdr:x>
      <cdr:y>0.30345</cdr:y>
    </cdr:from>
    <cdr:to>
      <cdr:x>0.97934</cdr:x>
      <cdr:y>0.34993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861050" y="1298575"/>
          <a:ext cx="1571625" cy="238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 baseline="0"/>
            <a:t>Macintosh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0.0031</cdr:x>
      <cdr:y>0.13161</cdr:y>
    </cdr:from>
    <cdr:to>
      <cdr:x>0.11409</cdr:x>
      <cdr:y>0.19182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528639"/>
          <a:ext cx="866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baseline="0"/>
            <a:t>Percent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0.0031</cdr:x>
      <cdr:y>0.12893</cdr:y>
    </cdr:from>
    <cdr:to>
      <cdr:x>0.11409</cdr:x>
      <cdr:y>0.18817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528639"/>
          <a:ext cx="866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baseline="0"/>
            <a:t>Percent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dnet.com/blog/itfacts/mobile-os-market-shares-in-2005-symbian-51-linux-23-windows-17/10153" TargetMode="External"/><Relationship Id="rId2" Type="http://schemas.openxmlformats.org/officeDocument/2006/relationships/hyperlink" Target="http://www.etforecasts.com/products/ES_pdas2003.htm" TargetMode="External"/><Relationship Id="rId1" Type="http://schemas.openxmlformats.org/officeDocument/2006/relationships/hyperlink" Target="http://www.etforecasts.com/products/ES_SP-PDA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alminfocenter.com/news/9247/report-64-million-smartphones-shipped-in-2006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A07B8-A629-4355-A89A-6AAB3FFCAAA4}">
  <dimension ref="A1:AK140"/>
  <sheetViews>
    <sheetView zoomScaleNormal="100" workbookViewId="0">
      <selection activeCell="A73" sqref="A73"/>
    </sheetView>
  </sheetViews>
  <sheetFormatPr defaultColWidth="8.86328125" defaultRowHeight="12.75"/>
  <cols>
    <col min="2" max="2" width="15.73046875" customWidth="1"/>
    <col min="4" max="4" width="10.73046875" customWidth="1"/>
    <col min="6" max="6" width="13" customWidth="1"/>
    <col min="8" max="8" width="13.3984375" customWidth="1"/>
    <col min="9" max="9" width="10.3984375" customWidth="1"/>
    <col min="12" max="13" width="10.3984375" customWidth="1"/>
    <col min="16" max="16" width="11" customWidth="1"/>
    <col min="17" max="17" width="11.1328125" customWidth="1"/>
    <col min="19" max="19" width="11.3984375" customWidth="1"/>
    <col min="24" max="24" width="16.3984375" customWidth="1"/>
    <col min="26" max="26" width="8.86328125" customWidth="1"/>
    <col min="29" max="29" width="13.1328125" customWidth="1"/>
  </cols>
  <sheetData>
    <row r="1" spans="1:37">
      <c r="N1" t="s">
        <v>63</v>
      </c>
      <c r="P1" s="12" t="s">
        <v>64</v>
      </c>
      <c r="AB1">
        <f>+I13/N13</f>
        <v>0.10714285714285714</v>
      </c>
      <c r="AC1">
        <f>+F13:F13/N13</f>
        <v>0.21428571428571427</v>
      </c>
      <c r="AD1">
        <f>+L13/N13</f>
        <v>0.42178571428571426</v>
      </c>
      <c r="AE1" s="2">
        <f>SUM(R13:Z13)</f>
        <v>2014.7567857142858</v>
      </c>
    </row>
    <row r="2" spans="1:37">
      <c r="L2" t="s">
        <v>62</v>
      </c>
      <c r="M2">
        <v>6000000</v>
      </c>
      <c r="N2" s="2">
        <v>0.5</v>
      </c>
      <c r="O2">
        <f>+M2*N2</f>
        <v>3000000</v>
      </c>
      <c r="P2">
        <v>500</v>
      </c>
      <c r="Q2">
        <f>+O2/P2</f>
        <v>6000</v>
      </c>
      <c r="AB2">
        <f>+I14/N14</f>
        <v>4.065040650406504E-2</v>
      </c>
      <c r="AC2">
        <f>+L14/N14</f>
        <v>0.1016260162601626</v>
      </c>
      <c r="AD2">
        <f>SUM(P14:Y14)</f>
        <v>1997.9837398373984</v>
      </c>
      <c r="AG2">
        <f>16/18750</f>
        <v>8.5333333333333333E-4</v>
      </c>
    </row>
    <row r="3" spans="1:37">
      <c r="A3" t="s">
        <v>37</v>
      </c>
    </row>
    <row r="5" spans="1:37">
      <c r="A5" t="s">
        <v>22</v>
      </c>
      <c r="B5" t="s">
        <v>27</v>
      </c>
      <c r="C5" t="s">
        <v>23</v>
      </c>
      <c r="D5" t="s">
        <v>24</v>
      </c>
      <c r="E5" t="s">
        <v>26</v>
      </c>
      <c r="F5" t="s">
        <v>32</v>
      </c>
      <c r="G5" t="s">
        <v>25</v>
      </c>
      <c r="H5" s="12" t="s">
        <v>119</v>
      </c>
      <c r="I5" t="s">
        <v>31</v>
      </c>
      <c r="J5" t="s">
        <v>29</v>
      </c>
      <c r="K5" t="s">
        <v>38</v>
      </c>
      <c r="L5" t="s">
        <v>33</v>
      </c>
      <c r="M5" t="s">
        <v>61</v>
      </c>
      <c r="N5" t="s">
        <v>30</v>
      </c>
      <c r="P5" t="s">
        <v>34</v>
      </c>
      <c r="Q5" t="s">
        <v>35</v>
      </c>
      <c r="R5" t="s">
        <v>36</v>
      </c>
      <c r="S5" t="s">
        <v>28</v>
      </c>
      <c r="T5" t="s">
        <v>23</v>
      </c>
      <c r="U5" t="s">
        <v>25</v>
      </c>
      <c r="V5" t="s">
        <v>22</v>
      </c>
      <c r="W5" s="12" t="s">
        <v>38</v>
      </c>
      <c r="X5" s="12" t="s">
        <v>31</v>
      </c>
      <c r="Y5" t="s">
        <v>32</v>
      </c>
      <c r="Z5" t="s">
        <v>61</v>
      </c>
      <c r="AA5" t="s">
        <v>23</v>
      </c>
      <c r="AB5" s="12" t="s">
        <v>65</v>
      </c>
      <c r="AC5" s="12" t="s">
        <v>28</v>
      </c>
      <c r="AD5" s="12" t="s">
        <v>24</v>
      </c>
      <c r="AE5" s="12" t="s">
        <v>26</v>
      </c>
      <c r="AF5" s="12" t="s">
        <v>25</v>
      </c>
      <c r="AG5" s="12" t="s">
        <v>27</v>
      </c>
      <c r="AI5" s="12" t="s">
        <v>111</v>
      </c>
      <c r="AK5" s="12" t="s">
        <v>112</v>
      </c>
    </row>
    <row r="6" spans="1:37">
      <c r="A6">
        <v>1975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5</v>
      </c>
      <c r="N6">
        <v>5</v>
      </c>
      <c r="U6" s="2"/>
      <c r="V6">
        <v>1975</v>
      </c>
      <c r="W6" s="13">
        <f>+K6/N6*100</f>
        <v>0</v>
      </c>
      <c r="X6" s="13">
        <f>+I6/N6*100</f>
        <v>0</v>
      </c>
      <c r="Y6" s="13">
        <f>+F6/N6*100</f>
        <v>0</v>
      </c>
      <c r="Z6" s="13">
        <f>+M6/N6*100</f>
        <v>100</v>
      </c>
      <c r="AA6" s="13"/>
      <c r="AB6" s="13">
        <f>+L6/N6*100</f>
        <v>0</v>
      </c>
      <c r="AC6">
        <f>+H6/N6*100</f>
        <v>0</v>
      </c>
      <c r="AD6">
        <f>+D6/N6*100</f>
        <v>0</v>
      </c>
      <c r="AE6">
        <f>+E6/N6*100</f>
        <v>0</v>
      </c>
      <c r="AF6">
        <f>+G6/N6*100</f>
        <v>0</v>
      </c>
      <c r="AG6">
        <f>+B6/N6*100</f>
        <v>0</v>
      </c>
    </row>
    <row r="7" spans="1:37">
      <c r="A7">
        <v>1976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40</v>
      </c>
      <c r="M7">
        <v>6</v>
      </c>
      <c r="N7">
        <v>46</v>
      </c>
      <c r="U7" s="2"/>
      <c r="V7">
        <v>1976</v>
      </c>
      <c r="W7" s="13">
        <f t="shared" ref="W7:W24" si="0">+K7/N7*100</f>
        <v>0</v>
      </c>
      <c r="X7" s="13">
        <f t="shared" ref="X7:X24" si="1">+I7/N7*100</f>
        <v>0</v>
      </c>
      <c r="Y7" s="13">
        <f t="shared" ref="Y7:Y24" si="2">+F7/N7*100</f>
        <v>0</v>
      </c>
      <c r="Z7" s="13">
        <f t="shared" ref="Z7:Z24" si="3">+M7/N7*100</f>
        <v>13.043478260869565</v>
      </c>
      <c r="AA7" s="13"/>
      <c r="AB7" s="13">
        <f t="shared" ref="AB7:AB25" si="4">+L7/N7*100</f>
        <v>86.956521739130437</v>
      </c>
      <c r="AC7">
        <f t="shared" ref="AC7:AC25" si="5">+H7/N7*100</f>
        <v>0</v>
      </c>
      <c r="AD7">
        <f t="shared" ref="AD7:AD25" si="6">+D7/N7*100</f>
        <v>0</v>
      </c>
      <c r="AE7">
        <f t="shared" ref="AE7:AE25" si="7">+E7/N7*100</f>
        <v>0</v>
      </c>
      <c r="AF7">
        <f t="shared" ref="AF7:AF25" si="8">+G7/N7*100</f>
        <v>0</v>
      </c>
      <c r="AG7">
        <f t="shared" ref="AG7:AG25" si="9">+B7/N7*100</f>
        <v>0</v>
      </c>
    </row>
    <row r="8" spans="1:37">
      <c r="A8">
        <v>1977</v>
      </c>
      <c r="B8">
        <v>0</v>
      </c>
      <c r="C8">
        <v>0.6</v>
      </c>
      <c r="D8">
        <v>0</v>
      </c>
      <c r="E8">
        <v>0</v>
      </c>
      <c r="F8">
        <v>0</v>
      </c>
      <c r="G8">
        <v>0</v>
      </c>
      <c r="H8">
        <v>0</v>
      </c>
      <c r="I8">
        <v>100</v>
      </c>
      <c r="J8">
        <v>0</v>
      </c>
      <c r="K8">
        <v>4</v>
      </c>
      <c r="L8">
        <v>50</v>
      </c>
      <c r="M8">
        <v>10</v>
      </c>
      <c r="N8">
        <v>150</v>
      </c>
      <c r="T8" s="2">
        <f t="shared" ref="T8:T24" si="10">+C8/N8</f>
        <v>4.0000000000000001E-3</v>
      </c>
      <c r="U8" s="2"/>
      <c r="V8">
        <v>1977</v>
      </c>
      <c r="W8" s="13">
        <f t="shared" si="0"/>
        <v>2.666666666666667</v>
      </c>
      <c r="X8" s="13">
        <f t="shared" si="1"/>
        <v>66.666666666666657</v>
      </c>
      <c r="Y8" s="13">
        <f t="shared" si="2"/>
        <v>0</v>
      </c>
      <c r="Z8" s="13">
        <f t="shared" si="3"/>
        <v>6.666666666666667</v>
      </c>
      <c r="AA8" s="14">
        <f>0.004*100</f>
        <v>0.4</v>
      </c>
      <c r="AB8" s="13">
        <f t="shared" si="4"/>
        <v>33.333333333333329</v>
      </c>
      <c r="AC8">
        <f t="shared" si="5"/>
        <v>0</v>
      </c>
      <c r="AD8">
        <f t="shared" si="6"/>
        <v>0</v>
      </c>
      <c r="AE8">
        <f t="shared" si="7"/>
        <v>0</v>
      </c>
      <c r="AF8">
        <f t="shared" si="8"/>
        <v>0</v>
      </c>
      <c r="AG8">
        <f t="shared" si="9"/>
        <v>0</v>
      </c>
    </row>
    <row r="9" spans="1:37">
      <c r="A9">
        <v>1978</v>
      </c>
      <c r="B9">
        <v>0</v>
      </c>
      <c r="C9">
        <v>7.6</v>
      </c>
      <c r="D9">
        <v>0</v>
      </c>
      <c r="E9">
        <v>0</v>
      </c>
      <c r="F9">
        <v>0</v>
      </c>
      <c r="G9">
        <v>0</v>
      </c>
      <c r="H9">
        <v>0</v>
      </c>
      <c r="I9">
        <v>150</v>
      </c>
      <c r="J9">
        <v>0</v>
      </c>
      <c r="K9">
        <v>30</v>
      </c>
      <c r="L9">
        <v>100</v>
      </c>
      <c r="M9">
        <v>4</v>
      </c>
      <c r="N9">
        <v>258</v>
      </c>
      <c r="T9" s="2">
        <f t="shared" si="10"/>
        <v>2.9457364341085271E-2</v>
      </c>
      <c r="U9" s="2"/>
      <c r="V9">
        <v>1978</v>
      </c>
      <c r="W9" s="13">
        <f t="shared" si="0"/>
        <v>11.627906976744185</v>
      </c>
      <c r="X9" s="13">
        <f t="shared" si="1"/>
        <v>58.139534883720934</v>
      </c>
      <c r="Y9" s="13">
        <f t="shared" si="2"/>
        <v>0</v>
      </c>
      <c r="Z9" s="13">
        <f t="shared" si="3"/>
        <v>1.5503875968992249</v>
      </c>
      <c r="AA9" s="13">
        <f>0.0294573643410853*100</f>
        <v>2.9457364341085297</v>
      </c>
      <c r="AB9" s="13">
        <f t="shared" si="4"/>
        <v>38.759689922480625</v>
      </c>
      <c r="AC9">
        <f t="shared" si="5"/>
        <v>0</v>
      </c>
      <c r="AD9">
        <f t="shared" si="6"/>
        <v>0</v>
      </c>
      <c r="AE9">
        <f t="shared" si="7"/>
        <v>0</v>
      </c>
      <c r="AF9">
        <f t="shared" si="8"/>
        <v>0</v>
      </c>
      <c r="AG9">
        <f t="shared" si="9"/>
        <v>0</v>
      </c>
    </row>
    <row r="10" spans="1:37">
      <c r="A10">
        <v>1979</v>
      </c>
      <c r="B10">
        <v>0</v>
      </c>
      <c r="C10">
        <v>35</v>
      </c>
      <c r="D10">
        <v>0</v>
      </c>
      <c r="E10">
        <v>0</v>
      </c>
      <c r="F10">
        <v>100</v>
      </c>
      <c r="G10">
        <v>0</v>
      </c>
      <c r="H10">
        <v>0</v>
      </c>
      <c r="I10">
        <v>200</v>
      </c>
      <c r="J10">
        <v>0</v>
      </c>
      <c r="K10">
        <v>45</v>
      </c>
      <c r="L10">
        <v>200</v>
      </c>
      <c r="M10">
        <v>0</v>
      </c>
      <c r="N10">
        <f>SUM(B10:L10)</f>
        <v>580</v>
      </c>
      <c r="T10" s="2">
        <f t="shared" si="10"/>
        <v>6.0344827586206899E-2</v>
      </c>
      <c r="U10" s="2"/>
      <c r="V10">
        <v>1979</v>
      </c>
      <c r="W10" s="13">
        <f t="shared" si="0"/>
        <v>7.7586206896551726</v>
      </c>
      <c r="X10" s="13">
        <f t="shared" si="1"/>
        <v>34.482758620689658</v>
      </c>
      <c r="Y10" s="13">
        <f t="shared" si="2"/>
        <v>17.241379310344829</v>
      </c>
      <c r="Z10" s="13">
        <f t="shared" si="3"/>
        <v>0</v>
      </c>
      <c r="AA10" s="13">
        <f>0.0603448275862069*100</f>
        <v>6.0344827586206895</v>
      </c>
      <c r="AB10" s="13">
        <f t="shared" si="4"/>
        <v>34.482758620689658</v>
      </c>
      <c r="AC10">
        <f t="shared" si="5"/>
        <v>0</v>
      </c>
      <c r="AD10">
        <f t="shared" si="6"/>
        <v>0</v>
      </c>
      <c r="AE10">
        <f t="shared" si="7"/>
        <v>0</v>
      </c>
      <c r="AF10">
        <f t="shared" si="8"/>
        <v>0</v>
      </c>
      <c r="AG10">
        <f t="shared" si="9"/>
        <v>0</v>
      </c>
    </row>
    <row r="11" spans="1:37">
      <c r="A11">
        <v>1980</v>
      </c>
      <c r="B11">
        <v>0</v>
      </c>
      <c r="C11">
        <v>78</v>
      </c>
      <c r="D11">
        <v>0</v>
      </c>
      <c r="E11">
        <v>0</v>
      </c>
      <c r="F11">
        <v>200</v>
      </c>
      <c r="G11">
        <v>0</v>
      </c>
      <c r="H11">
        <v>0</v>
      </c>
      <c r="I11">
        <v>290</v>
      </c>
      <c r="J11">
        <v>0</v>
      </c>
      <c r="K11">
        <v>90</v>
      </c>
      <c r="L11">
        <v>424</v>
      </c>
      <c r="N11">
        <v>724</v>
      </c>
      <c r="T11" s="2">
        <f t="shared" si="10"/>
        <v>0.10773480662983426</v>
      </c>
      <c r="U11" s="2"/>
      <c r="V11">
        <v>1980</v>
      </c>
      <c r="W11" s="13">
        <f t="shared" si="0"/>
        <v>12.430939226519337</v>
      </c>
      <c r="X11" s="13">
        <f t="shared" si="1"/>
        <v>40.055248618784525</v>
      </c>
      <c r="Y11" s="13">
        <f t="shared" si="2"/>
        <v>27.624309392265197</v>
      </c>
      <c r="Z11" s="13">
        <f t="shared" si="3"/>
        <v>0</v>
      </c>
      <c r="AA11" s="13">
        <f>0.107734806629834*100</f>
        <v>10.773480662983401</v>
      </c>
      <c r="AB11" s="13">
        <f t="shared" si="4"/>
        <v>58.563535911602202</v>
      </c>
      <c r="AC11">
        <f t="shared" si="5"/>
        <v>0</v>
      </c>
      <c r="AD11">
        <f t="shared" si="6"/>
        <v>0</v>
      </c>
      <c r="AE11">
        <f t="shared" si="7"/>
        <v>0</v>
      </c>
      <c r="AF11">
        <f t="shared" si="8"/>
        <v>0</v>
      </c>
      <c r="AG11">
        <f t="shared" si="9"/>
        <v>0</v>
      </c>
    </row>
    <row r="12" spans="1:37">
      <c r="A12">
        <v>1981</v>
      </c>
      <c r="B12">
        <v>35</v>
      </c>
      <c r="C12">
        <v>210</v>
      </c>
      <c r="D12">
        <v>0</v>
      </c>
      <c r="E12">
        <v>0</v>
      </c>
      <c r="F12">
        <v>300</v>
      </c>
      <c r="G12">
        <v>0</v>
      </c>
      <c r="H12">
        <v>0</v>
      </c>
      <c r="I12">
        <v>250</v>
      </c>
      <c r="J12">
        <v>0</v>
      </c>
      <c r="K12">
        <v>40</v>
      </c>
      <c r="L12">
        <v>605</v>
      </c>
      <c r="N12">
        <v>1400</v>
      </c>
      <c r="R12" s="2">
        <f t="shared" ref="R12:R36" si="11">+B12/N12</f>
        <v>2.5000000000000001E-2</v>
      </c>
      <c r="T12" s="2">
        <f t="shared" si="10"/>
        <v>0.15</v>
      </c>
      <c r="U12" s="2"/>
      <c r="V12">
        <v>1981</v>
      </c>
      <c r="W12" s="13">
        <f t="shared" si="0"/>
        <v>2.8571428571428572</v>
      </c>
      <c r="X12" s="13">
        <f t="shared" si="1"/>
        <v>17.857142857142858</v>
      </c>
      <c r="Y12" s="13">
        <f t="shared" si="2"/>
        <v>21.428571428571427</v>
      </c>
      <c r="Z12" s="13">
        <f t="shared" si="3"/>
        <v>0</v>
      </c>
      <c r="AA12" s="13">
        <f>0.15*100</f>
        <v>15</v>
      </c>
      <c r="AB12" s="13">
        <f t="shared" si="4"/>
        <v>43.214285714285715</v>
      </c>
      <c r="AC12">
        <f t="shared" si="5"/>
        <v>0</v>
      </c>
      <c r="AD12">
        <f t="shared" si="6"/>
        <v>0</v>
      </c>
      <c r="AE12">
        <f t="shared" si="7"/>
        <v>0</v>
      </c>
      <c r="AF12">
        <f t="shared" si="8"/>
        <v>0</v>
      </c>
      <c r="AG12">
        <f t="shared" si="9"/>
        <v>2.5</v>
      </c>
    </row>
    <row r="13" spans="1:37">
      <c r="A13">
        <v>1982</v>
      </c>
      <c r="B13">
        <v>240</v>
      </c>
      <c r="C13">
        <v>279</v>
      </c>
      <c r="D13">
        <v>0</v>
      </c>
      <c r="E13">
        <v>0</v>
      </c>
      <c r="F13">
        <v>600</v>
      </c>
      <c r="G13">
        <v>0</v>
      </c>
      <c r="H13">
        <v>200</v>
      </c>
      <c r="I13">
        <v>300</v>
      </c>
      <c r="J13">
        <v>0</v>
      </c>
      <c r="K13">
        <v>10</v>
      </c>
      <c r="L13">
        <f>+N13-I13-H13-F13-C13-B13</f>
        <v>1181</v>
      </c>
      <c r="N13">
        <v>2800</v>
      </c>
      <c r="R13" s="2">
        <f t="shared" si="11"/>
        <v>8.5714285714285715E-2</v>
      </c>
      <c r="S13" s="2">
        <f t="shared" ref="S13:S24" si="12">+H13/N13</f>
        <v>7.1428571428571425E-2</v>
      </c>
      <c r="T13" s="2">
        <f t="shared" si="10"/>
        <v>9.9642857142857144E-2</v>
      </c>
      <c r="U13" s="2"/>
      <c r="V13">
        <v>1982</v>
      </c>
      <c r="W13" s="13">
        <f t="shared" si="0"/>
        <v>0.35714285714285715</v>
      </c>
      <c r="X13" s="13">
        <f t="shared" si="1"/>
        <v>10.714285714285714</v>
      </c>
      <c r="Y13" s="13">
        <f t="shared" si="2"/>
        <v>21.428571428571427</v>
      </c>
      <c r="Z13" s="13">
        <f t="shared" si="3"/>
        <v>0</v>
      </c>
      <c r="AA13" s="13">
        <f>0.0996428571428571*100</f>
        <v>9.96428571428571</v>
      </c>
      <c r="AB13" s="13">
        <f t="shared" si="4"/>
        <v>42.178571428571423</v>
      </c>
      <c r="AC13">
        <f t="shared" si="5"/>
        <v>7.1428571428571423</v>
      </c>
      <c r="AD13">
        <f t="shared" si="6"/>
        <v>0</v>
      </c>
      <c r="AE13">
        <f t="shared" si="7"/>
        <v>0</v>
      </c>
      <c r="AF13">
        <f t="shared" si="8"/>
        <v>0</v>
      </c>
      <c r="AG13">
        <f t="shared" si="9"/>
        <v>8.5714285714285712</v>
      </c>
    </row>
    <row r="14" spans="1:37">
      <c r="A14">
        <v>1983</v>
      </c>
      <c r="B14">
        <v>1300</v>
      </c>
      <c r="C14">
        <v>420</v>
      </c>
      <c r="D14">
        <v>0</v>
      </c>
      <c r="E14">
        <v>0</v>
      </c>
      <c r="F14">
        <v>500</v>
      </c>
      <c r="G14">
        <v>0</v>
      </c>
      <c r="H14">
        <v>2000</v>
      </c>
      <c r="I14">
        <v>200</v>
      </c>
      <c r="J14">
        <v>0</v>
      </c>
      <c r="K14">
        <v>0</v>
      </c>
      <c r="L14">
        <v>500</v>
      </c>
      <c r="N14">
        <f>SUM(B14:L14)</f>
        <v>4920</v>
      </c>
      <c r="R14" s="2">
        <f t="shared" si="11"/>
        <v>0.26422764227642276</v>
      </c>
      <c r="S14" s="2">
        <f t="shared" si="12"/>
        <v>0.4065040650406504</v>
      </c>
      <c r="T14" s="2">
        <f t="shared" si="10"/>
        <v>8.5365853658536592E-2</v>
      </c>
      <c r="U14" s="2"/>
      <c r="V14">
        <v>1983</v>
      </c>
      <c r="W14" s="13">
        <f t="shared" si="0"/>
        <v>0</v>
      </c>
      <c r="X14" s="13">
        <f t="shared" si="1"/>
        <v>4.0650406504065035</v>
      </c>
      <c r="Y14" s="13">
        <f t="shared" si="2"/>
        <v>10.16260162601626</v>
      </c>
      <c r="Z14" s="13">
        <f t="shared" si="3"/>
        <v>0</v>
      </c>
      <c r="AA14" s="13">
        <f>0.0853658536585366*100</f>
        <v>8.5365853658536608</v>
      </c>
      <c r="AB14" s="13">
        <f t="shared" si="4"/>
        <v>10.16260162601626</v>
      </c>
      <c r="AC14">
        <f t="shared" si="5"/>
        <v>40.650406504065039</v>
      </c>
      <c r="AD14">
        <f t="shared" si="6"/>
        <v>0</v>
      </c>
      <c r="AE14">
        <f t="shared" si="7"/>
        <v>0</v>
      </c>
      <c r="AF14">
        <f t="shared" si="8"/>
        <v>0</v>
      </c>
      <c r="AG14">
        <f t="shared" si="9"/>
        <v>26.422764227642276</v>
      </c>
    </row>
    <row r="15" spans="1:37">
      <c r="A15">
        <v>1984</v>
      </c>
      <c r="B15">
        <v>2000</v>
      </c>
      <c r="C15">
        <v>1000</v>
      </c>
      <c r="D15">
        <v>372</v>
      </c>
      <c r="E15">
        <v>0</v>
      </c>
      <c r="F15">
        <v>200</v>
      </c>
      <c r="G15">
        <v>0</v>
      </c>
      <c r="H15">
        <v>2500</v>
      </c>
      <c r="I15">
        <v>50</v>
      </c>
      <c r="J15">
        <v>0</v>
      </c>
      <c r="K15">
        <v>0</v>
      </c>
      <c r="L15">
        <v>200</v>
      </c>
      <c r="N15">
        <f>SUM(B15:L15)</f>
        <v>6322</v>
      </c>
      <c r="P15" s="1">
        <v>0.06</v>
      </c>
      <c r="R15" s="2">
        <f t="shared" si="11"/>
        <v>0.31635558367605188</v>
      </c>
      <c r="S15" s="2">
        <f t="shared" si="12"/>
        <v>0.39544447959506485</v>
      </c>
      <c r="T15" s="2">
        <f t="shared" si="10"/>
        <v>0.15817779183802594</v>
      </c>
      <c r="U15" s="2"/>
      <c r="V15">
        <v>1984</v>
      </c>
      <c r="W15" s="13">
        <f t="shared" si="0"/>
        <v>0</v>
      </c>
      <c r="X15" s="13">
        <f t="shared" si="1"/>
        <v>0.7908889591901298</v>
      </c>
      <c r="Y15" s="13">
        <f t="shared" si="2"/>
        <v>3.1635558367605192</v>
      </c>
      <c r="Z15" s="13">
        <f t="shared" si="3"/>
        <v>0</v>
      </c>
      <c r="AA15" s="13">
        <f>0.158177791838026*100</f>
        <v>15.8177791838026</v>
      </c>
      <c r="AB15" s="13">
        <f t="shared" si="4"/>
        <v>3.1635558367605192</v>
      </c>
      <c r="AC15">
        <f t="shared" si="5"/>
        <v>39.544447959506485</v>
      </c>
      <c r="AD15">
        <f t="shared" si="6"/>
        <v>5.884213856374565</v>
      </c>
      <c r="AE15">
        <f t="shared" si="7"/>
        <v>0</v>
      </c>
      <c r="AF15">
        <f t="shared" si="8"/>
        <v>0</v>
      </c>
      <c r="AG15">
        <f t="shared" si="9"/>
        <v>31.635558367605189</v>
      </c>
    </row>
    <row r="16" spans="1:37">
      <c r="A16">
        <v>1985</v>
      </c>
      <c r="B16">
        <v>3700</v>
      </c>
      <c r="C16">
        <v>900</v>
      </c>
      <c r="D16">
        <v>200</v>
      </c>
      <c r="E16">
        <v>100</v>
      </c>
      <c r="F16">
        <v>100</v>
      </c>
      <c r="G16">
        <v>100</v>
      </c>
      <c r="H16">
        <v>2500</v>
      </c>
      <c r="I16">
        <v>10</v>
      </c>
      <c r="J16">
        <v>0</v>
      </c>
      <c r="K16">
        <v>0</v>
      </c>
      <c r="L16">
        <v>0</v>
      </c>
      <c r="N16">
        <f>SUM(B16:J16)</f>
        <v>7610</v>
      </c>
      <c r="P16" s="2">
        <v>2.5999999999999999E-2</v>
      </c>
      <c r="Q16" s="2">
        <f t="shared" ref="Q16:Q26" si="13">+E16/N16</f>
        <v>1.3140604467805518E-2</v>
      </c>
      <c r="R16" s="2">
        <f t="shared" si="11"/>
        <v>0.48620236530880423</v>
      </c>
      <c r="S16" s="2">
        <f t="shared" si="12"/>
        <v>0.32851511169513797</v>
      </c>
      <c r="T16" s="2">
        <f t="shared" si="10"/>
        <v>0.11826544021024968</v>
      </c>
      <c r="U16" s="2">
        <f t="shared" ref="U16:U25" si="14">+G16/N16</f>
        <v>1.3140604467805518E-2</v>
      </c>
      <c r="V16">
        <v>1985</v>
      </c>
      <c r="W16" s="13">
        <f t="shared" si="0"/>
        <v>0</v>
      </c>
      <c r="X16" s="13">
        <f t="shared" si="1"/>
        <v>0.13140604467805519</v>
      </c>
      <c r="Y16" s="13">
        <f t="shared" si="2"/>
        <v>1.3140604467805519</v>
      </c>
      <c r="Z16" s="13">
        <f t="shared" si="3"/>
        <v>0</v>
      </c>
      <c r="AA16" s="13">
        <f>0.11826544021025*100</f>
        <v>11.826544021025001</v>
      </c>
      <c r="AB16" s="13">
        <f t="shared" si="4"/>
        <v>0</v>
      </c>
      <c r="AC16">
        <f t="shared" si="5"/>
        <v>32.851511169513799</v>
      </c>
      <c r="AD16">
        <f t="shared" si="6"/>
        <v>2.6281208935611038</v>
      </c>
      <c r="AE16">
        <f t="shared" si="7"/>
        <v>1.3140604467805519</v>
      </c>
      <c r="AF16">
        <f t="shared" si="8"/>
        <v>1.3140604467805519</v>
      </c>
      <c r="AG16">
        <f t="shared" si="9"/>
        <v>48.620236530880426</v>
      </c>
    </row>
    <row r="17" spans="1:35">
      <c r="A17">
        <v>1986</v>
      </c>
      <c r="B17">
        <v>5020</v>
      </c>
      <c r="C17">
        <v>700</v>
      </c>
      <c r="D17">
        <v>380</v>
      </c>
      <c r="E17">
        <v>200</v>
      </c>
      <c r="F17">
        <v>0</v>
      </c>
      <c r="G17">
        <v>200</v>
      </c>
      <c r="H17">
        <v>2500</v>
      </c>
      <c r="I17">
        <v>0</v>
      </c>
      <c r="J17">
        <v>0</v>
      </c>
      <c r="K17">
        <v>0</v>
      </c>
      <c r="L17">
        <v>0</v>
      </c>
      <c r="N17">
        <v>9000</v>
      </c>
      <c r="P17" s="2">
        <v>4.2000000000000003E-2</v>
      </c>
      <c r="Q17" s="2">
        <f t="shared" si="13"/>
        <v>2.2222222222222223E-2</v>
      </c>
      <c r="R17" s="2">
        <f t="shared" si="11"/>
        <v>0.55777777777777782</v>
      </c>
      <c r="S17" s="2">
        <f t="shared" si="12"/>
        <v>0.27777777777777779</v>
      </c>
      <c r="T17" s="2">
        <f t="shared" si="10"/>
        <v>7.7777777777777779E-2</v>
      </c>
      <c r="U17" s="2">
        <f t="shared" si="14"/>
        <v>2.2222222222222223E-2</v>
      </c>
      <c r="V17">
        <v>1986</v>
      </c>
      <c r="W17" s="13">
        <f t="shared" si="0"/>
        <v>0</v>
      </c>
      <c r="X17" s="13">
        <f t="shared" si="1"/>
        <v>0</v>
      </c>
      <c r="Y17" s="13">
        <f t="shared" si="2"/>
        <v>0</v>
      </c>
      <c r="Z17" s="13">
        <f t="shared" si="3"/>
        <v>0</v>
      </c>
      <c r="AA17" s="13">
        <f>0.0777777777777778*100</f>
        <v>7.7777777777777803</v>
      </c>
      <c r="AB17" s="13">
        <f t="shared" si="4"/>
        <v>0</v>
      </c>
      <c r="AC17">
        <f t="shared" si="5"/>
        <v>27.777777777777779</v>
      </c>
      <c r="AD17">
        <f t="shared" si="6"/>
        <v>4.2222222222222223</v>
      </c>
      <c r="AE17">
        <f t="shared" si="7"/>
        <v>2.2222222222222223</v>
      </c>
      <c r="AF17">
        <f t="shared" si="8"/>
        <v>2.2222222222222223</v>
      </c>
      <c r="AG17">
        <f t="shared" si="9"/>
        <v>55.777777777777779</v>
      </c>
    </row>
    <row r="18" spans="1:35">
      <c r="A18">
        <v>1987</v>
      </c>
      <c r="B18">
        <f>+N18-C18-D18-E18-G18-H18</f>
        <v>5950</v>
      </c>
      <c r="C18">
        <v>500</v>
      </c>
      <c r="D18">
        <v>550</v>
      </c>
      <c r="E18">
        <v>300</v>
      </c>
      <c r="F18">
        <v>0</v>
      </c>
      <c r="G18">
        <v>400</v>
      </c>
      <c r="H18">
        <v>1500</v>
      </c>
      <c r="I18">
        <v>0</v>
      </c>
      <c r="J18">
        <v>0</v>
      </c>
      <c r="K18">
        <v>0</v>
      </c>
      <c r="L18">
        <v>0</v>
      </c>
      <c r="N18">
        <v>9200</v>
      </c>
      <c r="P18" s="1">
        <v>0.06</v>
      </c>
      <c r="Q18" s="2">
        <f t="shared" si="13"/>
        <v>3.2608695652173912E-2</v>
      </c>
      <c r="R18" s="2">
        <f t="shared" si="11"/>
        <v>0.64673913043478259</v>
      </c>
      <c r="S18" s="2">
        <f t="shared" si="12"/>
        <v>0.16304347826086957</v>
      </c>
      <c r="T18" s="2">
        <f t="shared" si="10"/>
        <v>5.434782608695652E-2</v>
      </c>
      <c r="U18" s="2">
        <f t="shared" si="14"/>
        <v>4.3478260869565216E-2</v>
      </c>
      <c r="V18">
        <v>1987</v>
      </c>
      <c r="W18" s="13">
        <f t="shared" si="0"/>
        <v>0</v>
      </c>
      <c r="X18" s="13">
        <f t="shared" si="1"/>
        <v>0</v>
      </c>
      <c r="Y18" s="13">
        <f t="shared" si="2"/>
        <v>0</v>
      </c>
      <c r="Z18" s="13">
        <f t="shared" si="3"/>
        <v>0</v>
      </c>
      <c r="AA18" s="13">
        <f>0.0543478260869565*100</f>
        <v>5.4347826086956497</v>
      </c>
      <c r="AB18" s="13">
        <f t="shared" si="4"/>
        <v>0</v>
      </c>
      <c r="AC18">
        <f t="shared" si="5"/>
        <v>16.304347826086957</v>
      </c>
      <c r="AD18">
        <f t="shared" si="6"/>
        <v>5.9782608695652177</v>
      </c>
      <c r="AE18">
        <f t="shared" si="7"/>
        <v>3.2608695652173911</v>
      </c>
      <c r="AF18">
        <f t="shared" si="8"/>
        <v>4.3478260869565215</v>
      </c>
      <c r="AG18">
        <f t="shared" si="9"/>
        <v>64.673913043478265</v>
      </c>
    </row>
    <row r="19" spans="1:35">
      <c r="A19">
        <v>1988</v>
      </c>
      <c r="B19">
        <f>+N19-C19-D19-E19-G19-H19</f>
        <v>11900</v>
      </c>
      <c r="C19">
        <v>200</v>
      </c>
      <c r="D19">
        <v>900</v>
      </c>
      <c r="E19">
        <v>400</v>
      </c>
      <c r="F19">
        <v>0</v>
      </c>
      <c r="G19">
        <v>350</v>
      </c>
      <c r="H19">
        <v>1250</v>
      </c>
      <c r="I19">
        <v>0</v>
      </c>
      <c r="J19">
        <v>12</v>
      </c>
      <c r="K19">
        <v>0</v>
      </c>
      <c r="L19">
        <v>0</v>
      </c>
      <c r="N19">
        <v>15000</v>
      </c>
      <c r="P19" s="1">
        <v>0.06</v>
      </c>
      <c r="Q19" s="2">
        <f t="shared" si="13"/>
        <v>2.6666666666666668E-2</v>
      </c>
      <c r="R19" s="2">
        <f t="shared" si="11"/>
        <v>0.79333333333333333</v>
      </c>
      <c r="S19" s="2">
        <f t="shared" si="12"/>
        <v>8.3333333333333329E-2</v>
      </c>
      <c r="T19" s="2">
        <f t="shared" si="10"/>
        <v>1.3333333333333334E-2</v>
      </c>
      <c r="U19" s="2">
        <f t="shared" si="14"/>
        <v>2.3333333333333334E-2</v>
      </c>
      <c r="V19">
        <v>1988</v>
      </c>
      <c r="W19" s="13">
        <f t="shared" si="0"/>
        <v>0</v>
      </c>
      <c r="X19" s="13">
        <f t="shared" si="1"/>
        <v>0</v>
      </c>
      <c r="Y19" s="13">
        <f t="shared" si="2"/>
        <v>0</v>
      </c>
      <c r="Z19" s="13">
        <f t="shared" si="3"/>
        <v>0</v>
      </c>
      <c r="AA19" s="13">
        <f>0.0133333333333333*100</f>
        <v>1.3333333333333299</v>
      </c>
      <c r="AB19" s="13">
        <f t="shared" si="4"/>
        <v>0</v>
      </c>
      <c r="AC19">
        <f t="shared" si="5"/>
        <v>8.3333333333333321</v>
      </c>
      <c r="AD19">
        <f t="shared" si="6"/>
        <v>6</v>
      </c>
      <c r="AE19">
        <f t="shared" si="7"/>
        <v>2.666666666666667</v>
      </c>
      <c r="AF19">
        <f t="shared" si="8"/>
        <v>2.3333333333333335</v>
      </c>
      <c r="AG19">
        <f t="shared" si="9"/>
        <v>79.333333333333329</v>
      </c>
    </row>
    <row r="20" spans="1:35">
      <c r="A20">
        <v>1989</v>
      </c>
      <c r="B20">
        <f>+N20-C20-D20-E20-G20-H20</f>
        <v>17550</v>
      </c>
      <c r="C20">
        <v>200</v>
      </c>
      <c r="D20">
        <v>1100</v>
      </c>
      <c r="E20">
        <v>600</v>
      </c>
      <c r="F20">
        <v>0</v>
      </c>
      <c r="G20">
        <v>300</v>
      </c>
      <c r="H20">
        <v>1250</v>
      </c>
      <c r="I20">
        <v>0</v>
      </c>
      <c r="J20">
        <v>12</v>
      </c>
      <c r="K20">
        <v>0</v>
      </c>
      <c r="L20">
        <v>0</v>
      </c>
      <c r="N20">
        <v>21000</v>
      </c>
      <c r="P20" s="1">
        <v>0.05</v>
      </c>
      <c r="Q20" s="2">
        <f t="shared" si="13"/>
        <v>2.8571428571428571E-2</v>
      </c>
      <c r="R20" s="2">
        <f t="shared" si="11"/>
        <v>0.83571428571428574</v>
      </c>
      <c r="S20" s="2">
        <f t="shared" si="12"/>
        <v>5.9523809523809521E-2</v>
      </c>
      <c r="T20" s="2">
        <f t="shared" si="10"/>
        <v>9.5238095238095247E-3</v>
      </c>
      <c r="U20" s="2">
        <f t="shared" si="14"/>
        <v>1.4285714285714285E-2</v>
      </c>
      <c r="V20">
        <v>1989</v>
      </c>
      <c r="W20" s="13">
        <f t="shared" si="0"/>
        <v>0</v>
      </c>
      <c r="X20" s="13">
        <f t="shared" si="1"/>
        <v>0</v>
      </c>
      <c r="Y20" s="13">
        <f t="shared" si="2"/>
        <v>0</v>
      </c>
      <c r="Z20" s="13">
        <f t="shared" si="3"/>
        <v>0</v>
      </c>
      <c r="AA20" s="13">
        <f>0.00952380952380952*100</f>
        <v>0.952380952380952</v>
      </c>
      <c r="AB20" s="13">
        <f t="shared" si="4"/>
        <v>0</v>
      </c>
      <c r="AC20">
        <f t="shared" si="5"/>
        <v>5.9523809523809517</v>
      </c>
      <c r="AD20">
        <f t="shared" si="6"/>
        <v>5.2380952380952381</v>
      </c>
      <c r="AE20">
        <f t="shared" si="7"/>
        <v>2.8571428571428572</v>
      </c>
      <c r="AF20">
        <f t="shared" si="8"/>
        <v>1.4285714285714286</v>
      </c>
      <c r="AG20">
        <f t="shared" si="9"/>
        <v>83.571428571428569</v>
      </c>
    </row>
    <row r="21" spans="1:35">
      <c r="A21">
        <v>1990</v>
      </c>
      <c r="B21">
        <f>+N21-C21-D21-E21-G21-H21-J21</f>
        <v>16838</v>
      </c>
      <c r="C21">
        <v>100</v>
      </c>
      <c r="D21">
        <v>1300</v>
      </c>
      <c r="E21">
        <v>750</v>
      </c>
      <c r="F21">
        <v>0</v>
      </c>
      <c r="G21">
        <v>300</v>
      </c>
      <c r="H21">
        <v>700</v>
      </c>
      <c r="I21">
        <v>0</v>
      </c>
      <c r="J21">
        <v>12</v>
      </c>
      <c r="K21">
        <v>0</v>
      </c>
      <c r="L21">
        <v>0</v>
      </c>
      <c r="N21">
        <v>20000</v>
      </c>
      <c r="P21" s="1">
        <v>0.05</v>
      </c>
      <c r="Q21" s="2">
        <f t="shared" si="13"/>
        <v>3.7499999999999999E-2</v>
      </c>
      <c r="R21" s="2">
        <f t="shared" si="11"/>
        <v>0.84189999999999998</v>
      </c>
      <c r="S21" s="2">
        <f t="shared" si="12"/>
        <v>3.5000000000000003E-2</v>
      </c>
      <c r="T21" s="2">
        <f t="shared" si="10"/>
        <v>5.0000000000000001E-3</v>
      </c>
      <c r="U21" s="2">
        <f t="shared" si="14"/>
        <v>1.4999999999999999E-2</v>
      </c>
      <c r="V21">
        <v>1990</v>
      </c>
      <c r="W21" s="13">
        <f t="shared" si="0"/>
        <v>0</v>
      </c>
      <c r="X21" s="13">
        <f t="shared" si="1"/>
        <v>0</v>
      </c>
      <c r="Y21" s="13">
        <f t="shared" si="2"/>
        <v>0</v>
      </c>
      <c r="Z21" s="13">
        <f t="shared" si="3"/>
        <v>0</v>
      </c>
      <c r="AA21" s="13">
        <f>0.005*100</f>
        <v>0.5</v>
      </c>
      <c r="AB21" s="13">
        <f t="shared" si="4"/>
        <v>0</v>
      </c>
      <c r="AC21">
        <f t="shared" si="5"/>
        <v>3.5000000000000004</v>
      </c>
      <c r="AD21">
        <f t="shared" si="6"/>
        <v>6.5</v>
      </c>
      <c r="AE21">
        <f t="shared" si="7"/>
        <v>3.75</v>
      </c>
      <c r="AF21">
        <f t="shared" si="8"/>
        <v>1.5</v>
      </c>
      <c r="AG21">
        <f t="shared" si="9"/>
        <v>84.19</v>
      </c>
    </row>
    <row r="22" spans="1:35">
      <c r="A22">
        <v>1991</v>
      </c>
      <c r="B22">
        <f>+N22-C22-D22-E22-G22-H22-J22</f>
        <v>14399</v>
      </c>
      <c r="C22">
        <v>100</v>
      </c>
      <c r="D22">
        <v>2100</v>
      </c>
      <c r="E22">
        <v>1035</v>
      </c>
      <c r="F22">
        <v>0</v>
      </c>
      <c r="G22">
        <v>300</v>
      </c>
      <c r="H22">
        <v>800</v>
      </c>
      <c r="I22">
        <v>0</v>
      </c>
      <c r="J22">
        <v>16</v>
      </c>
      <c r="K22">
        <v>0</v>
      </c>
      <c r="L22">
        <v>0</v>
      </c>
      <c r="N22">
        <v>18750</v>
      </c>
      <c r="P22" s="2">
        <v>0.112</v>
      </c>
      <c r="Q22" s="2">
        <f t="shared" si="13"/>
        <v>5.5199999999999999E-2</v>
      </c>
      <c r="R22" s="2">
        <f t="shared" si="11"/>
        <v>0.76794666666666667</v>
      </c>
      <c r="S22" s="2">
        <f t="shared" si="12"/>
        <v>4.2666666666666665E-2</v>
      </c>
      <c r="T22" s="2">
        <f t="shared" si="10"/>
        <v>5.3333333333333332E-3</v>
      </c>
      <c r="U22" s="2">
        <f t="shared" si="14"/>
        <v>1.6E-2</v>
      </c>
      <c r="V22">
        <v>1991</v>
      </c>
      <c r="W22" s="13">
        <f t="shared" si="0"/>
        <v>0</v>
      </c>
      <c r="X22" s="13">
        <f t="shared" si="1"/>
        <v>0</v>
      </c>
      <c r="Y22" s="13">
        <f t="shared" si="2"/>
        <v>0</v>
      </c>
      <c r="Z22" s="13">
        <f t="shared" si="3"/>
        <v>0</v>
      </c>
      <c r="AA22" s="13">
        <f>0.00533333333333333*100</f>
        <v>0.53333333333333299</v>
      </c>
      <c r="AB22" s="13">
        <f t="shared" si="4"/>
        <v>0</v>
      </c>
      <c r="AC22">
        <f t="shared" si="5"/>
        <v>4.2666666666666666</v>
      </c>
      <c r="AD22">
        <f t="shared" si="6"/>
        <v>11.200000000000001</v>
      </c>
      <c r="AE22">
        <f t="shared" si="7"/>
        <v>5.52</v>
      </c>
      <c r="AF22">
        <f t="shared" si="8"/>
        <v>1.6</v>
      </c>
      <c r="AG22">
        <f t="shared" si="9"/>
        <v>76.794666666666672</v>
      </c>
    </row>
    <row r="23" spans="1:35">
      <c r="A23">
        <v>1992</v>
      </c>
      <c r="B23">
        <f>+N23-D23</f>
        <v>18300</v>
      </c>
      <c r="C23">
        <v>100</v>
      </c>
      <c r="D23">
        <v>2500</v>
      </c>
      <c r="E23">
        <v>390</v>
      </c>
      <c r="F23">
        <v>0</v>
      </c>
      <c r="G23">
        <v>120</v>
      </c>
      <c r="H23">
        <v>300</v>
      </c>
      <c r="I23">
        <v>0</v>
      </c>
      <c r="J23">
        <v>10</v>
      </c>
      <c r="K23">
        <v>0</v>
      </c>
      <c r="L23">
        <v>0</v>
      </c>
      <c r="N23">
        <v>20800</v>
      </c>
      <c r="P23" s="1">
        <v>0.12</v>
      </c>
      <c r="Q23" s="2">
        <f t="shared" si="13"/>
        <v>1.8749999999999999E-2</v>
      </c>
      <c r="R23" s="2">
        <f t="shared" si="11"/>
        <v>0.87980769230769229</v>
      </c>
      <c r="S23" s="2">
        <f t="shared" si="12"/>
        <v>1.4423076923076924E-2</v>
      </c>
      <c r="T23" s="2">
        <f t="shared" si="10"/>
        <v>4.807692307692308E-3</v>
      </c>
      <c r="U23" s="2">
        <f t="shared" si="14"/>
        <v>5.7692307692307696E-3</v>
      </c>
      <c r="V23">
        <v>1992</v>
      </c>
      <c r="W23" s="13">
        <f t="shared" si="0"/>
        <v>0</v>
      </c>
      <c r="X23" s="13">
        <f t="shared" si="1"/>
        <v>0</v>
      </c>
      <c r="Y23" s="13">
        <f t="shared" si="2"/>
        <v>0</v>
      </c>
      <c r="Z23" s="13">
        <f t="shared" si="3"/>
        <v>0</v>
      </c>
      <c r="AA23" s="13">
        <f t="shared" ref="AA23:AA42" si="15">0.00533333333333333*100</f>
        <v>0.53333333333333299</v>
      </c>
      <c r="AB23" s="13">
        <f t="shared" si="4"/>
        <v>0</v>
      </c>
      <c r="AC23">
        <f t="shared" si="5"/>
        <v>1.4423076923076923</v>
      </c>
      <c r="AD23">
        <f t="shared" si="6"/>
        <v>12.01923076923077</v>
      </c>
      <c r="AE23">
        <f t="shared" si="7"/>
        <v>1.875</v>
      </c>
      <c r="AF23">
        <f t="shared" si="8"/>
        <v>0.57692307692307698</v>
      </c>
      <c r="AG23">
        <f t="shared" si="9"/>
        <v>87.980769230769226</v>
      </c>
    </row>
    <row r="24" spans="1:35">
      <c r="A24">
        <v>1993</v>
      </c>
      <c r="B24">
        <v>27750</v>
      </c>
      <c r="C24">
        <v>30</v>
      </c>
      <c r="D24">
        <v>3300</v>
      </c>
      <c r="E24">
        <v>155</v>
      </c>
      <c r="F24">
        <v>0</v>
      </c>
      <c r="G24">
        <v>30</v>
      </c>
      <c r="H24">
        <v>175</v>
      </c>
      <c r="I24">
        <v>0</v>
      </c>
      <c r="J24">
        <v>5</v>
      </c>
      <c r="K24">
        <v>0</v>
      </c>
      <c r="L24">
        <v>0</v>
      </c>
      <c r="N24">
        <v>31050</v>
      </c>
      <c r="P24" s="1">
        <v>0.1</v>
      </c>
      <c r="Q24" s="2">
        <f t="shared" si="13"/>
        <v>4.9919484702093397E-3</v>
      </c>
      <c r="R24" s="2">
        <f t="shared" si="11"/>
        <v>0.893719806763285</v>
      </c>
      <c r="S24" s="2">
        <f t="shared" si="12"/>
        <v>5.6360708534621577E-3</v>
      </c>
      <c r="T24" s="2">
        <f t="shared" si="10"/>
        <v>9.6618357487922703E-4</v>
      </c>
      <c r="U24" s="2">
        <f t="shared" si="14"/>
        <v>9.6618357487922703E-4</v>
      </c>
      <c r="V24">
        <v>1993</v>
      </c>
      <c r="W24" s="13">
        <f t="shared" si="0"/>
        <v>0</v>
      </c>
      <c r="X24" s="13">
        <f t="shared" si="1"/>
        <v>0</v>
      </c>
      <c r="Y24" s="13">
        <f t="shared" si="2"/>
        <v>0</v>
      </c>
      <c r="Z24" s="13">
        <f t="shared" si="3"/>
        <v>0</v>
      </c>
      <c r="AA24" s="13">
        <f t="shared" si="15"/>
        <v>0.53333333333333299</v>
      </c>
      <c r="AB24" s="13">
        <f t="shared" si="4"/>
        <v>0</v>
      </c>
      <c r="AC24">
        <f t="shared" si="5"/>
        <v>0.56360708534621573</v>
      </c>
      <c r="AD24">
        <f t="shared" si="6"/>
        <v>10.628019323671497</v>
      </c>
      <c r="AE24">
        <f t="shared" si="7"/>
        <v>0.49919484702093397</v>
      </c>
      <c r="AF24">
        <f t="shared" si="8"/>
        <v>9.6618357487922704E-2</v>
      </c>
      <c r="AG24">
        <f t="shared" si="9"/>
        <v>89.371980676328505</v>
      </c>
    </row>
    <row r="25" spans="1:35">
      <c r="A25">
        <v>1994</v>
      </c>
      <c r="B25">
        <f t="shared" ref="B25:B33" si="16">+N25-D25</f>
        <v>37200</v>
      </c>
      <c r="C25">
        <v>0</v>
      </c>
      <c r="D25">
        <v>3800</v>
      </c>
      <c r="E25">
        <v>50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N25">
        <v>41000</v>
      </c>
      <c r="P25" s="2">
        <v>9.2999999999999999E-2</v>
      </c>
      <c r="Q25" s="2">
        <f t="shared" si="13"/>
        <v>1.2195121951219512E-3</v>
      </c>
      <c r="R25" s="2">
        <f t="shared" si="11"/>
        <v>0.90731707317073174</v>
      </c>
      <c r="U25" s="2">
        <f t="shared" si="14"/>
        <v>0</v>
      </c>
      <c r="V25">
        <v>1994</v>
      </c>
      <c r="W25" s="13">
        <f t="shared" ref="W25:W42" si="17">+K25/N25*100</f>
        <v>0</v>
      </c>
      <c r="X25" s="13">
        <f t="shared" ref="X25:X42" si="18">+I25/N25*100</f>
        <v>0</v>
      </c>
      <c r="Y25" s="13">
        <f t="shared" ref="Y25:Y42" si="19">+F25/N25*100</f>
        <v>0</v>
      </c>
      <c r="Z25" s="13">
        <f t="shared" ref="Z25:Z42" si="20">+M25/N25*100</f>
        <v>0</v>
      </c>
      <c r="AA25" s="13">
        <f t="shared" si="15"/>
        <v>0.53333333333333299</v>
      </c>
      <c r="AB25" s="13">
        <f t="shared" si="4"/>
        <v>0</v>
      </c>
      <c r="AC25">
        <f t="shared" si="5"/>
        <v>0</v>
      </c>
      <c r="AD25">
        <f t="shared" si="6"/>
        <v>9.2682926829268286</v>
      </c>
      <c r="AE25">
        <f t="shared" si="7"/>
        <v>0.12195121951219512</v>
      </c>
      <c r="AF25">
        <f t="shared" si="8"/>
        <v>0</v>
      </c>
      <c r="AG25">
        <f t="shared" si="9"/>
        <v>90.731707317073173</v>
      </c>
    </row>
    <row r="26" spans="1:35">
      <c r="A26">
        <v>1995</v>
      </c>
      <c r="B26">
        <f t="shared" si="16"/>
        <v>45880</v>
      </c>
      <c r="C26">
        <v>0</v>
      </c>
      <c r="D26">
        <v>4120</v>
      </c>
      <c r="E26">
        <v>42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N26">
        <v>50000</v>
      </c>
      <c r="P26" s="1">
        <v>0.09</v>
      </c>
      <c r="Q26" s="2">
        <f t="shared" si="13"/>
        <v>8.4000000000000003E-4</v>
      </c>
      <c r="R26" s="2">
        <f t="shared" si="11"/>
        <v>0.91759999999999997</v>
      </c>
      <c r="U26" s="2"/>
      <c r="V26">
        <v>1995</v>
      </c>
      <c r="W26" s="13">
        <f t="shared" si="17"/>
        <v>0</v>
      </c>
      <c r="X26" s="13">
        <f t="shared" si="18"/>
        <v>0</v>
      </c>
      <c r="Y26" s="13">
        <f t="shared" si="19"/>
        <v>0</v>
      </c>
      <c r="Z26" s="13">
        <f t="shared" si="20"/>
        <v>0</v>
      </c>
      <c r="AA26" s="13">
        <f t="shared" si="15"/>
        <v>0.53333333333333299</v>
      </c>
      <c r="AB26" s="13">
        <f t="shared" ref="AB26:AB42" si="21">+L26/N26*100</f>
        <v>0</v>
      </c>
      <c r="AC26">
        <f t="shared" ref="AC26:AC42" si="22">+H26/N26*100</f>
        <v>0</v>
      </c>
      <c r="AD26">
        <f t="shared" ref="AD26:AD42" si="23">+D26/N26*100</f>
        <v>8.24</v>
      </c>
      <c r="AE26">
        <f t="shared" ref="AE26:AE42" si="24">+E26/N26*100</f>
        <v>8.4000000000000005E-2</v>
      </c>
      <c r="AF26">
        <f t="shared" ref="AF26:AF42" si="25">+G26/N26*100</f>
        <v>0</v>
      </c>
      <c r="AG26">
        <f t="shared" ref="AG26:AG42" si="26">+B26/N26*100</f>
        <v>91.759999999999991</v>
      </c>
    </row>
    <row r="27" spans="1:35">
      <c r="A27">
        <v>1996</v>
      </c>
      <c r="B27">
        <f t="shared" si="16"/>
        <v>74612</v>
      </c>
      <c r="C27">
        <v>0</v>
      </c>
      <c r="D27">
        <v>3388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N27">
        <v>78000</v>
      </c>
      <c r="P27" s="2">
        <v>5.0999999999999997E-2</v>
      </c>
      <c r="R27" s="2">
        <f t="shared" si="11"/>
        <v>0.95656410256410251</v>
      </c>
      <c r="U27" s="2"/>
      <c r="V27">
        <v>1996</v>
      </c>
      <c r="W27" s="13">
        <f t="shared" si="17"/>
        <v>0</v>
      </c>
      <c r="X27" s="13">
        <f t="shared" si="18"/>
        <v>0</v>
      </c>
      <c r="Y27" s="13">
        <f t="shared" si="19"/>
        <v>0</v>
      </c>
      <c r="Z27" s="13">
        <f t="shared" si="20"/>
        <v>0</v>
      </c>
      <c r="AA27" s="13">
        <f t="shared" si="15"/>
        <v>0.53333333333333299</v>
      </c>
      <c r="AB27" s="13">
        <f t="shared" si="21"/>
        <v>0</v>
      </c>
      <c r="AC27">
        <f t="shared" si="22"/>
        <v>0</v>
      </c>
      <c r="AD27">
        <f t="shared" si="23"/>
        <v>4.3435897435897441</v>
      </c>
      <c r="AE27">
        <f t="shared" si="24"/>
        <v>0</v>
      </c>
      <c r="AF27">
        <f t="shared" si="25"/>
        <v>0</v>
      </c>
      <c r="AG27">
        <f t="shared" si="26"/>
        <v>95.656410256410254</v>
      </c>
    </row>
    <row r="28" spans="1:35">
      <c r="A28">
        <v>1997</v>
      </c>
      <c r="B28">
        <f t="shared" si="16"/>
        <v>78414</v>
      </c>
      <c r="C28">
        <v>0</v>
      </c>
      <c r="D28">
        <v>2586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N28">
        <v>81000</v>
      </c>
      <c r="P28" s="2">
        <v>3.4500000000000003E-2</v>
      </c>
      <c r="R28" s="2">
        <f t="shared" si="11"/>
        <v>0.96807407407407409</v>
      </c>
      <c r="U28" s="2"/>
      <c r="V28">
        <v>1997</v>
      </c>
      <c r="W28" s="13">
        <f t="shared" si="17"/>
        <v>0</v>
      </c>
      <c r="X28" s="13">
        <f t="shared" si="18"/>
        <v>0</v>
      </c>
      <c r="Y28" s="13">
        <f t="shared" si="19"/>
        <v>0</v>
      </c>
      <c r="Z28" s="13">
        <f t="shared" si="20"/>
        <v>0</v>
      </c>
      <c r="AA28" s="13">
        <f t="shared" si="15"/>
        <v>0.53333333333333299</v>
      </c>
      <c r="AB28" s="13">
        <f t="shared" si="21"/>
        <v>0</v>
      </c>
      <c r="AC28">
        <f t="shared" si="22"/>
        <v>0</v>
      </c>
      <c r="AD28">
        <f t="shared" si="23"/>
        <v>3.1925925925925926</v>
      </c>
      <c r="AE28">
        <f t="shared" si="24"/>
        <v>0</v>
      </c>
      <c r="AF28">
        <f t="shared" si="25"/>
        <v>0</v>
      </c>
      <c r="AG28">
        <f t="shared" si="26"/>
        <v>96.80740740740741</v>
      </c>
    </row>
    <row r="29" spans="1:35">
      <c r="A29">
        <v>1998</v>
      </c>
      <c r="B29">
        <f t="shared" si="16"/>
        <v>96928</v>
      </c>
      <c r="C29">
        <v>0</v>
      </c>
      <c r="D29">
        <v>3072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N29">
        <v>100000</v>
      </c>
      <c r="P29" s="2">
        <f t="shared" ref="P29:P42" si="27">+D29/N29</f>
        <v>3.0720000000000001E-2</v>
      </c>
      <c r="R29" s="2">
        <f t="shared" si="11"/>
        <v>0.96928000000000003</v>
      </c>
      <c r="U29" s="2"/>
      <c r="V29">
        <v>1998</v>
      </c>
      <c r="W29" s="13">
        <f t="shared" si="17"/>
        <v>0</v>
      </c>
      <c r="X29" s="13">
        <f t="shared" si="18"/>
        <v>0</v>
      </c>
      <c r="Y29" s="13">
        <f t="shared" si="19"/>
        <v>0</v>
      </c>
      <c r="Z29" s="13">
        <f t="shared" si="20"/>
        <v>0</v>
      </c>
      <c r="AA29" s="13">
        <f t="shared" si="15"/>
        <v>0.53333333333333299</v>
      </c>
      <c r="AB29" s="13">
        <f t="shared" si="21"/>
        <v>0</v>
      </c>
      <c r="AC29">
        <f t="shared" si="22"/>
        <v>0</v>
      </c>
      <c r="AD29">
        <f t="shared" si="23"/>
        <v>3.0720000000000001</v>
      </c>
      <c r="AE29">
        <f t="shared" si="24"/>
        <v>0</v>
      </c>
      <c r="AF29">
        <f t="shared" si="25"/>
        <v>0</v>
      </c>
      <c r="AG29">
        <f t="shared" si="26"/>
        <v>96.927999999999997</v>
      </c>
    </row>
    <row r="30" spans="1:35">
      <c r="A30">
        <v>1999</v>
      </c>
      <c r="B30">
        <f t="shared" si="16"/>
        <v>116119</v>
      </c>
      <c r="C30">
        <v>0</v>
      </c>
      <c r="D30">
        <v>3881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N30">
        <v>120000</v>
      </c>
      <c r="P30" s="2">
        <f t="shared" si="27"/>
        <v>3.2341666666666664E-2</v>
      </c>
      <c r="R30" s="2">
        <f t="shared" si="11"/>
        <v>0.96765833333333329</v>
      </c>
      <c r="U30" s="2"/>
      <c r="V30">
        <v>1999</v>
      </c>
      <c r="W30" s="13">
        <f t="shared" si="17"/>
        <v>0</v>
      </c>
      <c r="X30" s="13">
        <f t="shared" si="18"/>
        <v>0</v>
      </c>
      <c r="Y30" s="13">
        <f t="shared" si="19"/>
        <v>0</v>
      </c>
      <c r="Z30" s="13">
        <f t="shared" si="20"/>
        <v>0</v>
      </c>
      <c r="AA30" s="13">
        <f t="shared" si="15"/>
        <v>0.53333333333333299</v>
      </c>
      <c r="AB30" s="13">
        <f t="shared" si="21"/>
        <v>0</v>
      </c>
      <c r="AC30">
        <f t="shared" si="22"/>
        <v>0</v>
      </c>
      <c r="AD30">
        <f t="shared" si="23"/>
        <v>3.2341666666666664</v>
      </c>
      <c r="AE30">
        <f t="shared" si="24"/>
        <v>0</v>
      </c>
      <c r="AF30">
        <f t="shared" si="25"/>
        <v>0</v>
      </c>
      <c r="AG30">
        <f t="shared" si="26"/>
        <v>96.765833333333333</v>
      </c>
    </row>
    <row r="31" spans="1:35">
      <c r="A31">
        <v>2000</v>
      </c>
      <c r="B31">
        <f t="shared" si="16"/>
        <v>134160</v>
      </c>
      <c r="C31">
        <v>0</v>
      </c>
      <c r="D31">
        <v>3840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N31">
        <v>138000</v>
      </c>
      <c r="P31" s="2">
        <f t="shared" si="27"/>
        <v>2.782608695652174E-2</v>
      </c>
      <c r="R31" s="2">
        <f t="shared" si="11"/>
        <v>0.97217391304347822</v>
      </c>
      <c r="U31" s="2"/>
      <c r="V31">
        <v>2000</v>
      </c>
      <c r="W31" s="13">
        <f t="shared" si="17"/>
        <v>0</v>
      </c>
      <c r="X31" s="13">
        <f t="shared" si="18"/>
        <v>0</v>
      </c>
      <c r="Y31" s="13">
        <f t="shared" si="19"/>
        <v>0</v>
      </c>
      <c r="Z31" s="13">
        <f t="shared" si="20"/>
        <v>0</v>
      </c>
      <c r="AA31" s="13">
        <f t="shared" si="15"/>
        <v>0.53333333333333299</v>
      </c>
      <c r="AB31" s="13">
        <f t="shared" si="21"/>
        <v>0</v>
      </c>
      <c r="AC31">
        <f t="shared" si="22"/>
        <v>0</v>
      </c>
      <c r="AD31">
        <f t="shared" si="23"/>
        <v>2.7826086956521738</v>
      </c>
      <c r="AE31">
        <f t="shared" si="24"/>
        <v>0</v>
      </c>
      <c r="AF31">
        <f t="shared" si="25"/>
        <v>0</v>
      </c>
      <c r="AG31">
        <f t="shared" si="26"/>
        <v>97.217391304347828</v>
      </c>
      <c r="AH31">
        <v>0.3</v>
      </c>
      <c r="AI31">
        <f>+AH31*1000</f>
        <v>300</v>
      </c>
    </row>
    <row r="32" spans="1:35">
      <c r="A32">
        <v>2001</v>
      </c>
      <c r="B32">
        <f t="shared" si="16"/>
        <v>124826</v>
      </c>
      <c r="C32">
        <v>0</v>
      </c>
      <c r="D32">
        <v>3174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N32">
        <v>128000</v>
      </c>
      <c r="P32" s="2">
        <f t="shared" si="27"/>
        <v>2.4796874999999999E-2</v>
      </c>
      <c r="R32" s="2">
        <f t="shared" si="11"/>
        <v>0.97520312499999995</v>
      </c>
      <c r="U32" s="2"/>
      <c r="V32">
        <v>2001</v>
      </c>
      <c r="W32" s="13">
        <f t="shared" si="17"/>
        <v>0</v>
      </c>
      <c r="X32" s="13">
        <f t="shared" si="18"/>
        <v>0</v>
      </c>
      <c r="Y32" s="13">
        <f t="shared" si="19"/>
        <v>0</v>
      </c>
      <c r="Z32" s="13">
        <f t="shared" si="20"/>
        <v>0</v>
      </c>
      <c r="AA32" s="13">
        <f t="shared" si="15"/>
        <v>0.53333333333333299</v>
      </c>
      <c r="AB32" s="13">
        <f t="shared" si="21"/>
        <v>0</v>
      </c>
      <c r="AC32">
        <f t="shared" si="22"/>
        <v>0</v>
      </c>
      <c r="AD32">
        <f t="shared" si="23"/>
        <v>2.4796874999999998</v>
      </c>
      <c r="AE32">
        <f t="shared" si="24"/>
        <v>0</v>
      </c>
      <c r="AF32">
        <f t="shared" si="25"/>
        <v>0</v>
      </c>
      <c r="AG32">
        <f t="shared" si="26"/>
        <v>97.520312499999989</v>
      </c>
      <c r="AH32">
        <v>3</v>
      </c>
      <c r="AI32">
        <f t="shared" ref="AI32:AI44" si="28">+AH32*1000</f>
        <v>3000</v>
      </c>
    </row>
    <row r="33" spans="1:36">
      <c r="A33">
        <v>2002</v>
      </c>
      <c r="B33">
        <f t="shared" si="16"/>
        <v>128902</v>
      </c>
      <c r="C33">
        <v>0</v>
      </c>
      <c r="D33">
        <v>3098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N33">
        <v>132000</v>
      </c>
      <c r="P33" s="2">
        <f t="shared" si="27"/>
        <v>2.346969696969697E-2</v>
      </c>
      <c r="R33" s="2">
        <f t="shared" si="11"/>
        <v>0.97653030303030308</v>
      </c>
      <c r="U33" s="2"/>
      <c r="V33">
        <v>2002</v>
      </c>
      <c r="W33" s="13">
        <f t="shared" si="17"/>
        <v>0</v>
      </c>
      <c r="X33" s="13">
        <f t="shared" si="18"/>
        <v>0</v>
      </c>
      <c r="Y33" s="13">
        <f t="shared" si="19"/>
        <v>0</v>
      </c>
      <c r="Z33" s="13">
        <f t="shared" si="20"/>
        <v>0</v>
      </c>
      <c r="AA33" s="13">
        <f t="shared" si="15"/>
        <v>0.53333333333333299</v>
      </c>
      <c r="AB33" s="13">
        <f t="shared" si="21"/>
        <v>0</v>
      </c>
      <c r="AC33">
        <f t="shared" si="22"/>
        <v>0</v>
      </c>
      <c r="AD33">
        <f t="shared" si="23"/>
        <v>2.3469696969696972</v>
      </c>
      <c r="AE33">
        <f t="shared" si="24"/>
        <v>0</v>
      </c>
      <c r="AF33">
        <f t="shared" si="25"/>
        <v>0</v>
      </c>
      <c r="AG33">
        <f t="shared" si="26"/>
        <v>97.653030303030306</v>
      </c>
      <c r="AH33">
        <f>423*0.01</f>
        <v>4.2300000000000004</v>
      </c>
      <c r="AI33">
        <f t="shared" si="28"/>
        <v>4230</v>
      </c>
    </row>
    <row r="34" spans="1:36">
      <c r="A34">
        <v>2003</v>
      </c>
      <c r="B34">
        <f>150800-3098</f>
        <v>147702</v>
      </c>
      <c r="C34">
        <v>0</v>
      </c>
      <c r="D34">
        <v>3098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N34">
        <v>150800</v>
      </c>
      <c r="P34" s="2">
        <f t="shared" si="27"/>
        <v>2.0543766578249335E-2</v>
      </c>
      <c r="R34" s="2">
        <f t="shared" si="11"/>
        <v>0.9794562334217507</v>
      </c>
      <c r="V34">
        <v>2003</v>
      </c>
      <c r="W34" s="13">
        <f t="shared" si="17"/>
        <v>0</v>
      </c>
      <c r="X34" s="13">
        <f t="shared" si="18"/>
        <v>0</v>
      </c>
      <c r="Y34" s="13">
        <f t="shared" si="19"/>
        <v>0</v>
      </c>
      <c r="Z34" s="13">
        <f t="shared" si="20"/>
        <v>0</v>
      </c>
      <c r="AA34" s="13">
        <f t="shared" si="15"/>
        <v>0.53333333333333299</v>
      </c>
      <c r="AB34" s="13">
        <f t="shared" si="21"/>
        <v>0</v>
      </c>
      <c r="AC34">
        <f t="shared" si="22"/>
        <v>0</v>
      </c>
      <c r="AD34">
        <f t="shared" si="23"/>
        <v>2.0543766578249336</v>
      </c>
      <c r="AE34">
        <f t="shared" si="24"/>
        <v>0</v>
      </c>
      <c r="AF34">
        <f t="shared" si="25"/>
        <v>0</v>
      </c>
      <c r="AG34">
        <f t="shared" si="26"/>
        <v>97.945623342175068</v>
      </c>
      <c r="AH34">
        <v>7.4</v>
      </c>
      <c r="AI34">
        <f t="shared" si="28"/>
        <v>7400</v>
      </c>
    </row>
    <row r="35" spans="1:36">
      <c r="A35">
        <v>2004</v>
      </c>
      <c r="B35">
        <f>+N35-D35</f>
        <v>173193</v>
      </c>
      <c r="C35">
        <v>0</v>
      </c>
      <c r="D35">
        <v>3507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N35">
        <v>176700</v>
      </c>
      <c r="P35" s="2">
        <f t="shared" si="27"/>
        <v>1.9847198641765703E-2</v>
      </c>
      <c r="R35" s="2">
        <f t="shared" si="11"/>
        <v>0.98015280135823435</v>
      </c>
      <c r="V35">
        <v>2004</v>
      </c>
      <c r="W35" s="13">
        <f t="shared" si="17"/>
        <v>0</v>
      </c>
      <c r="X35" s="13">
        <f t="shared" si="18"/>
        <v>0</v>
      </c>
      <c r="Y35" s="13">
        <f t="shared" si="19"/>
        <v>0</v>
      </c>
      <c r="Z35" s="13">
        <f t="shared" si="20"/>
        <v>0</v>
      </c>
      <c r="AA35" s="13">
        <f t="shared" si="15"/>
        <v>0.53333333333333299</v>
      </c>
      <c r="AB35" s="13">
        <f t="shared" si="21"/>
        <v>0</v>
      </c>
      <c r="AC35">
        <f t="shared" si="22"/>
        <v>0</v>
      </c>
      <c r="AD35">
        <f t="shared" si="23"/>
        <v>1.9847198641765702</v>
      </c>
      <c r="AE35">
        <f t="shared" si="24"/>
        <v>0</v>
      </c>
      <c r="AF35">
        <f t="shared" si="25"/>
        <v>0</v>
      </c>
      <c r="AG35">
        <f t="shared" si="26"/>
        <v>98.015280135823431</v>
      </c>
      <c r="AH35">
        <v>15.5</v>
      </c>
      <c r="AI35">
        <f t="shared" si="28"/>
        <v>15500</v>
      </c>
    </row>
    <row r="36" spans="1:36">
      <c r="A36">
        <v>2005</v>
      </c>
      <c r="B36">
        <v>192233</v>
      </c>
      <c r="C36">
        <v>0</v>
      </c>
      <c r="D36">
        <v>4742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N36">
        <f>+D36+B36</f>
        <v>196975</v>
      </c>
      <c r="P36" s="2">
        <f t="shared" si="27"/>
        <v>2.4074121081355503E-2</v>
      </c>
      <c r="R36" s="2">
        <f t="shared" si="11"/>
        <v>0.97592587891864446</v>
      </c>
      <c r="V36">
        <v>2005</v>
      </c>
      <c r="W36" s="13">
        <f t="shared" si="17"/>
        <v>0</v>
      </c>
      <c r="X36" s="13">
        <f t="shared" si="18"/>
        <v>0</v>
      </c>
      <c r="Y36" s="13">
        <f t="shared" si="19"/>
        <v>0</v>
      </c>
      <c r="Z36" s="13">
        <f t="shared" si="20"/>
        <v>0</v>
      </c>
      <c r="AA36" s="13">
        <f t="shared" si="15"/>
        <v>0.53333333333333299</v>
      </c>
      <c r="AB36" s="13">
        <f t="shared" si="21"/>
        <v>0</v>
      </c>
      <c r="AC36">
        <f t="shared" si="22"/>
        <v>0</v>
      </c>
      <c r="AD36">
        <f t="shared" si="23"/>
        <v>2.4074121081355502</v>
      </c>
      <c r="AE36">
        <f t="shared" si="24"/>
        <v>0</v>
      </c>
      <c r="AF36">
        <f t="shared" si="25"/>
        <v>0</v>
      </c>
      <c r="AG36">
        <f t="shared" si="26"/>
        <v>97.59258789186444</v>
      </c>
      <c r="AH36">
        <v>46.6</v>
      </c>
      <c r="AI36">
        <f t="shared" si="28"/>
        <v>46600</v>
      </c>
    </row>
    <row r="37" spans="1:36">
      <c r="A37">
        <v>2006</v>
      </c>
      <c r="B37">
        <f t="shared" ref="B37:B42" si="29">+N37-D37</f>
        <v>233556</v>
      </c>
      <c r="D37">
        <f t="shared" ref="D37:D42" si="30">SUM(F47:I47)</f>
        <v>5655</v>
      </c>
      <c r="N37">
        <v>239211</v>
      </c>
      <c r="P37" s="2">
        <f t="shared" si="27"/>
        <v>2.3640217214091326E-2</v>
      </c>
      <c r="V37">
        <v>2006</v>
      </c>
      <c r="W37" s="13">
        <f t="shared" si="17"/>
        <v>0</v>
      </c>
      <c r="X37" s="13">
        <f t="shared" si="18"/>
        <v>0</v>
      </c>
      <c r="Y37" s="13">
        <f t="shared" si="19"/>
        <v>0</v>
      </c>
      <c r="Z37" s="13">
        <f t="shared" si="20"/>
        <v>0</v>
      </c>
      <c r="AA37" s="13">
        <f t="shared" si="15"/>
        <v>0.53333333333333299</v>
      </c>
      <c r="AB37" s="13">
        <f t="shared" si="21"/>
        <v>0</v>
      </c>
      <c r="AC37">
        <f t="shared" si="22"/>
        <v>0</v>
      </c>
      <c r="AD37">
        <f t="shared" si="23"/>
        <v>2.3640217214091326</v>
      </c>
      <c r="AE37">
        <f t="shared" si="24"/>
        <v>0</v>
      </c>
      <c r="AF37">
        <f t="shared" si="25"/>
        <v>0</v>
      </c>
      <c r="AG37">
        <f t="shared" si="26"/>
        <v>97.635978278590869</v>
      </c>
      <c r="AH37">
        <v>80</v>
      </c>
      <c r="AI37">
        <f t="shared" si="28"/>
        <v>80000</v>
      </c>
    </row>
    <row r="38" spans="1:36">
      <c r="A38">
        <v>2007</v>
      </c>
      <c r="B38">
        <f t="shared" si="29"/>
        <v>263416</v>
      </c>
      <c r="D38">
        <f t="shared" si="30"/>
        <v>7764</v>
      </c>
      <c r="N38">
        <v>271180</v>
      </c>
      <c r="P38" s="2">
        <f t="shared" si="27"/>
        <v>2.8630429972711851E-2</v>
      </c>
      <c r="V38">
        <v>2007</v>
      </c>
      <c r="W38" s="13">
        <f t="shared" si="17"/>
        <v>0</v>
      </c>
      <c r="X38" s="13">
        <f t="shared" si="18"/>
        <v>0</v>
      </c>
      <c r="Y38" s="13">
        <f t="shared" si="19"/>
        <v>0</v>
      </c>
      <c r="Z38" s="13">
        <f t="shared" si="20"/>
        <v>0</v>
      </c>
      <c r="AA38" s="13">
        <f t="shared" si="15"/>
        <v>0.53333333333333299</v>
      </c>
      <c r="AB38" s="13">
        <f t="shared" si="21"/>
        <v>0</v>
      </c>
      <c r="AC38">
        <f t="shared" si="22"/>
        <v>0</v>
      </c>
      <c r="AD38">
        <f t="shared" si="23"/>
        <v>2.8630429972711853</v>
      </c>
      <c r="AE38">
        <f t="shared" si="24"/>
        <v>0</v>
      </c>
      <c r="AF38">
        <f t="shared" si="25"/>
        <v>0</v>
      </c>
      <c r="AG38">
        <f t="shared" si="26"/>
        <v>97.13695700272882</v>
      </c>
      <c r="AH38">
        <v>122.3</v>
      </c>
      <c r="AI38">
        <f t="shared" si="28"/>
        <v>122300</v>
      </c>
    </row>
    <row r="39" spans="1:36">
      <c r="A39">
        <v>2008</v>
      </c>
      <c r="B39">
        <f t="shared" si="29"/>
        <v>287078</v>
      </c>
      <c r="D39">
        <f t="shared" si="30"/>
        <v>9922</v>
      </c>
      <c r="N39">
        <v>297000</v>
      </c>
      <c r="P39" s="2">
        <f t="shared" si="27"/>
        <v>3.3407407407407406E-2</v>
      </c>
      <c r="V39">
        <v>2008</v>
      </c>
      <c r="W39" s="13">
        <f t="shared" si="17"/>
        <v>0</v>
      </c>
      <c r="X39" s="13">
        <f t="shared" si="18"/>
        <v>0</v>
      </c>
      <c r="Y39" s="13">
        <f t="shared" si="19"/>
        <v>0</v>
      </c>
      <c r="Z39" s="13">
        <f t="shared" si="20"/>
        <v>0</v>
      </c>
      <c r="AA39" s="13">
        <f t="shared" si="15"/>
        <v>0.53333333333333299</v>
      </c>
      <c r="AB39" s="13">
        <f t="shared" si="21"/>
        <v>0</v>
      </c>
      <c r="AC39">
        <f t="shared" si="22"/>
        <v>0</v>
      </c>
      <c r="AD39">
        <f t="shared" si="23"/>
        <v>3.3407407407407406</v>
      </c>
      <c r="AE39">
        <f t="shared" si="24"/>
        <v>0</v>
      </c>
      <c r="AF39">
        <f t="shared" si="25"/>
        <v>0</v>
      </c>
      <c r="AG39">
        <f t="shared" si="26"/>
        <v>96.659259259259258</v>
      </c>
      <c r="AH39">
        <v>139.30000000000001</v>
      </c>
      <c r="AI39">
        <f t="shared" si="28"/>
        <v>139300</v>
      </c>
    </row>
    <row r="40" spans="1:36">
      <c r="A40">
        <v>2009</v>
      </c>
      <c r="B40">
        <f t="shared" si="29"/>
        <v>297901</v>
      </c>
      <c r="D40">
        <f t="shared" si="30"/>
        <v>11221</v>
      </c>
      <c r="N40">
        <v>309122</v>
      </c>
      <c r="P40" s="2">
        <f t="shared" si="27"/>
        <v>3.6299583983022882E-2</v>
      </c>
      <c r="V40">
        <v>2009</v>
      </c>
      <c r="W40" s="13">
        <f t="shared" si="17"/>
        <v>0</v>
      </c>
      <c r="X40" s="13">
        <f t="shared" si="18"/>
        <v>0</v>
      </c>
      <c r="Y40" s="13">
        <f t="shared" si="19"/>
        <v>0</v>
      </c>
      <c r="Z40" s="13">
        <f t="shared" si="20"/>
        <v>0</v>
      </c>
      <c r="AA40" s="13">
        <f t="shared" si="15"/>
        <v>0.53333333333333299</v>
      </c>
      <c r="AB40" s="13">
        <f t="shared" si="21"/>
        <v>0</v>
      </c>
      <c r="AC40">
        <f t="shared" si="22"/>
        <v>0</v>
      </c>
      <c r="AD40">
        <f t="shared" si="23"/>
        <v>3.6299583983022883</v>
      </c>
      <c r="AE40">
        <f t="shared" si="24"/>
        <v>0</v>
      </c>
      <c r="AF40">
        <f t="shared" si="25"/>
        <v>0</v>
      </c>
      <c r="AG40">
        <f t="shared" si="26"/>
        <v>96.370041601697707</v>
      </c>
      <c r="AH40">
        <v>176.7</v>
      </c>
      <c r="AI40">
        <f t="shared" si="28"/>
        <v>176700</v>
      </c>
    </row>
    <row r="41" spans="1:36">
      <c r="A41">
        <v>2010</v>
      </c>
      <c r="B41">
        <f t="shared" si="29"/>
        <v>337970</v>
      </c>
      <c r="D41">
        <f t="shared" si="30"/>
        <v>14430</v>
      </c>
      <c r="N41">
        <v>352400</v>
      </c>
      <c r="P41" s="2">
        <f t="shared" si="27"/>
        <v>4.0947786606129397E-2</v>
      </c>
      <c r="V41">
        <v>2010</v>
      </c>
      <c r="W41" s="13">
        <f t="shared" si="17"/>
        <v>0</v>
      </c>
      <c r="X41" s="13">
        <f t="shared" si="18"/>
        <v>0</v>
      </c>
      <c r="Y41" s="13">
        <f t="shared" si="19"/>
        <v>0</v>
      </c>
      <c r="Z41" s="13">
        <f t="shared" si="20"/>
        <v>0</v>
      </c>
      <c r="AA41" s="13">
        <f t="shared" si="15"/>
        <v>0.53333333333333299</v>
      </c>
      <c r="AB41" s="13">
        <f t="shared" si="21"/>
        <v>0</v>
      </c>
      <c r="AC41">
        <f t="shared" si="22"/>
        <v>0</v>
      </c>
      <c r="AD41">
        <f t="shared" si="23"/>
        <v>4.0947786606129393</v>
      </c>
      <c r="AE41">
        <f t="shared" si="24"/>
        <v>0</v>
      </c>
      <c r="AF41">
        <f t="shared" si="25"/>
        <v>0</v>
      </c>
      <c r="AG41">
        <f t="shared" si="26"/>
        <v>95.905221339387055</v>
      </c>
      <c r="AH41">
        <v>304</v>
      </c>
      <c r="AI41">
        <f t="shared" si="28"/>
        <v>304000</v>
      </c>
      <c r="AJ41">
        <v>17610</v>
      </c>
    </row>
    <row r="42" spans="1:36">
      <c r="A42">
        <v>2011</v>
      </c>
      <c r="B42">
        <f t="shared" si="29"/>
        <v>335641</v>
      </c>
      <c r="D42">
        <f t="shared" si="30"/>
        <v>17800</v>
      </c>
      <c r="N42">
        <v>353441</v>
      </c>
      <c r="P42" s="2">
        <f t="shared" si="27"/>
        <v>5.0362012330205042E-2</v>
      </c>
      <c r="R42" s="12" t="s">
        <v>102</v>
      </c>
      <c r="S42" s="12" t="s">
        <v>103</v>
      </c>
      <c r="T42" s="12" t="s">
        <v>104</v>
      </c>
      <c r="U42" s="12" t="s">
        <v>105</v>
      </c>
      <c r="V42">
        <v>2011</v>
      </c>
      <c r="W42" s="13">
        <f t="shared" si="17"/>
        <v>0</v>
      </c>
      <c r="X42" s="13">
        <f t="shared" si="18"/>
        <v>0</v>
      </c>
      <c r="Y42" s="13">
        <f t="shared" si="19"/>
        <v>0</v>
      </c>
      <c r="Z42" s="13">
        <f t="shared" si="20"/>
        <v>0</v>
      </c>
      <c r="AA42" s="13">
        <f t="shared" si="15"/>
        <v>0.53333333333333299</v>
      </c>
      <c r="AB42" s="13">
        <f t="shared" si="21"/>
        <v>0</v>
      </c>
      <c r="AC42">
        <f t="shared" si="22"/>
        <v>0</v>
      </c>
      <c r="AD42">
        <f t="shared" si="23"/>
        <v>5.0362012330205044</v>
      </c>
      <c r="AE42">
        <f t="shared" si="24"/>
        <v>0</v>
      </c>
      <c r="AF42">
        <f t="shared" si="25"/>
        <v>0</v>
      </c>
      <c r="AG42">
        <f t="shared" si="26"/>
        <v>94.963798766979508</v>
      </c>
      <c r="AH42">
        <v>472</v>
      </c>
      <c r="AI42">
        <f t="shared" si="28"/>
        <v>472000</v>
      </c>
      <c r="AJ42">
        <v>60017</v>
      </c>
    </row>
    <row r="43" spans="1:36">
      <c r="A43">
        <v>2012</v>
      </c>
      <c r="B43">
        <f>+B42*1.02</f>
        <v>342353.82</v>
      </c>
      <c r="C43" s="12" t="s">
        <v>113</v>
      </c>
      <c r="P43" s="2"/>
      <c r="R43" s="12"/>
      <c r="S43" s="12"/>
      <c r="T43" s="12"/>
      <c r="U43" s="12"/>
      <c r="W43" s="13"/>
      <c r="X43" s="13"/>
      <c r="Y43" s="13"/>
      <c r="Z43" s="13"/>
      <c r="AA43" s="13"/>
      <c r="AB43" s="13"/>
    </row>
    <row r="44" spans="1:36">
      <c r="B44" t="s">
        <v>57</v>
      </c>
      <c r="C44" t="s">
        <v>58</v>
      </c>
      <c r="D44" t="s">
        <v>59</v>
      </c>
      <c r="E44" t="s">
        <v>60</v>
      </c>
      <c r="F44" t="s">
        <v>40</v>
      </c>
      <c r="G44" t="s">
        <v>41</v>
      </c>
      <c r="H44" t="s">
        <v>42</v>
      </c>
      <c r="I44" t="s">
        <v>43</v>
      </c>
      <c r="K44" t="s">
        <v>48</v>
      </c>
      <c r="L44" t="s">
        <v>50</v>
      </c>
      <c r="N44" t="s">
        <v>51</v>
      </c>
      <c r="P44" t="s">
        <v>52</v>
      </c>
      <c r="Q44" s="2"/>
      <c r="R44" t="s">
        <v>48</v>
      </c>
      <c r="S44" t="s">
        <v>54</v>
      </c>
      <c r="T44" t="s">
        <v>51</v>
      </c>
      <c r="U44" t="s">
        <v>55</v>
      </c>
      <c r="V44" s="12"/>
      <c r="AH44">
        <f>+AH42*1.22</f>
        <v>575.84</v>
      </c>
      <c r="AI44">
        <f t="shared" si="28"/>
        <v>575840</v>
      </c>
    </row>
    <row r="45" spans="1:36">
      <c r="A45" t="s">
        <v>56</v>
      </c>
      <c r="F45" t="s">
        <v>47</v>
      </c>
      <c r="G45" t="s">
        <v>46</v>
      </c>
      <c r="H45" t="s">
        <v>44</v>
      </c>
      <c r="I45" t="s">
        <v>45</v>
      </c>
      <c r="K45" t="s">
        <v>49</v>
      </c>
      <c r="L45" t="s">
        <v>49</v>
      </c>
      <c r="N45" t="s">
        <v>49</v>
      </c>
      <c r="P45" t="s">
        <v>49</v>
      </c>
      <c r="Q45" s="2"/>
      <c r="R45" t="s">
        <v>53</v>
      </c>
      <c r="S45" t="s">
        <v>53</v>
      </c>
      <c r="T45" t="s">
        <v>53</v>
      </c>
      <c r="U45" t="s">
        <v>53</v>
      </c>
      <c r="V45" s="12"/>
    </row>
    <row r="46" spans="1:36">
      <c r="Q46" s="2"/>
    </row>
    <row r="47" spans="1:36">
      <c r="A47">
        <v>2006</v>
      </c>
      <c r="F47">
        <v>1112</v>
      </c>
      <c r="G47">
        <v>1327</v>
      </c>
      <c r="H47">
        <v>1610</v>
      </c>
      <c r="I47">
        <v>1606</v>
      </c>
      <c r="Q47" s="2"/>
    </row>
    <row r="48" spans="1:36">
      <c r="A48">
        <v>2007</v>
      </c>
      <c r="F48">
        <v>1517</v>
      </c>
      <c r="G48">
        <v>1764</v>
      </c>
      <c r="H48">
        <v>2164</v>
      </c>
      <c r="I48">
        <v>2319</v>
      </c>
      <c r="K48">
        <v>0</v>
      </c>
      <c r="L48">
        <v>270</v>
      </c>
      <c r="N48">
        <v>1119</v>
      </c>
      <c r="P48">
        <v>2315</v>
      </c>
      <c r="Q48" s="2"/>
    </row>
    <row r="49" spans="1:26">
      <c r="A49">
        <v>2008</v>
      </c>
      <c r="B49">
        <v>71057</v>
      </c>
      <c r="C49">
        <v>71855</v>
      </c>
      <c r="D49">
        <v>80564</v>
      </c>
      <c r="F49">
        <v>2289</v>
      </c>
      <c r="G49">
        <v>2496</v>
      </c>
      <c r="H49">
        <v>2611</v>
      </c>
      <c r="I49">
        <v>2526</v>
      </c>
      <c r="K49">
        <v>1703</v>
      </c>
      <c r="L49">
        <v>717</v>
      </c>
      <c r="N49">
        <v>6892</v>
      </c>
      <c r="P49">
        <f>+P50/2</f>
        <v>4350</v>
      </c>
      <c r="Q49" s="2"/>
    </row>
    <row r="50" spans="1:26">
      <c r="A50">
        <v>2009</v>
      </c>
      <c r="B50">
        <v>67209</v>
      </c>
      <c r="C50">
        <v>68149</v>
      </c>
      <c r="D50">
        <v>80864</v>
      </c>
      <c r="F50">
        <v>2211</v>
      </c>
      <c r="G50">
        <v>2600</v>
      </c>
      <c r="H50">
        <v>3050</v>
      </c>
      <c r="I50">
        <v>3360</v>
      </c>
      <c r="K50">
        <v>3788</v>
      </c>
      <c r="L50">
        <v>5200</v>
      </c>
      <c r="N50">
        <v>7400</v>
      </c>
      <c r="P50">
        <v>8700</v>
      </c>
      <c r="Q50" s="2"/>
    </row>
    <row r="51" spans="1:26">
      <c r="A51">
        <v>2010</v>
      </c>
      <c r="E51">
        <v>93500</v>
      </c>
      <c r="F51">
        <v>2940</v>
      </c>
      <c r="G51">
        <v>3470</v>
      </c>
      <c r="H51">
        <v>3890</v>
      </c>
      <c r="I51">
        <v>4130</v>
      </c>
      <c r="K51">
        <v>8750</v>
      </c>
      <c r="L51">
        <v>8400</v>
      </c>
      <c r="N51">
        <v>14100</v>
      </c>
      <c r="P51">
        <v>16240</v>
      </c>
      <c r="Q51" s="2"/>
      <c r="S51">
        <v>3270</v>
      </c>
      <c r="T51">
        <v>4180</v>
      </c>
      <c r="U51">
        <v>7313</v>
      </c>
    </row>
    <row r="52" spans="1:26">
      <c r="A52">
        <v>2011</v>
      </c>
      <c r="B52">
        <v>84250</v>
      </c>
      <c r="C52">
        <v>85220</v>
      </c>
      <c r="D52">
        <v>91800</v>
      </c>
      <c r="E52">
        <v>92171</v>
      </c>
      <c r="F52">
        <v>3760</v>
      </c>
      <c r="G52">
        <v>3950</v>
      </c>
      <c r="H52">
        <v>4890</v>
      </c>
      <c r="I52">
        <v>5200</v>
      </c>
      <c r="K52">
        <v>18650</v>
      </c>
      <c r="L52">
        <v>20340</v>
      </c>
      <c r="N52">
        <v>17070</v>
      </c>
      <c r="P52">
        <v>37040</v>
      </c>
      <c r="Q52" s="2"/>
      <c r="R52">
        <v>4690</v>
      </c>
      <c r="S52">
        <v>9250</v>
      </c>
      <c r="T52">
        <v>11120</v>
      </c>
      <c r="U52">
        <v>15430</v>
      </c>
    </row>
    <row r="53" spans="1:26">
      <c r="A53">
        <v>2012</v>
      </c>
      <c r="B53">
        <f>+B52+C52+D52+E52</f>
        <v>353441</v>
      </c>
      <c r="K53" s="12" t="s">
        <v>109</v>
      </c>
      <c r="L53" s="12" t="s">
        <v>110</v>
      </c>
      <c r="Q53" s="2"/>
      <c r="R53">
        <v>11800</v>
      </c>
      <c r="Y53" s="12" t="s">
        <v>117</v>
      </c>
      <c r="Z53" s="12" t="s">
        <v>115</v>
      </c>
    </row>
    <row r="54" spans="1:26">
      <c r="D54">
        <v>297000</v>
      </c>
      <c r="E54">
        <f>+D54-D50-C50-B50</f>
        <v>80778</v>
      </c>
      <c r="K54">
        <f>SUM(K51:P51)</f>
        <v>47490</v>
      </c>
      <c r="L54">
        <f>SUM(K52:P52)</f>
        <v>93100</v>
      </c>
      <c r="P54" s="2"/>
      <c r="X54" s="12" t="s">
        <v>114</v>
      </c>
      <c r="Y54" s="12" t="s">
        <v>116</v>
      </c>
      <c r="Z54" s="12" t="s">
        <v>118</v>
      </c>
    </row>
    <row r="55" spans="1:26" ht="17.25">
      <c r="A55" s="3" t="s">
        <v>39</v>
      </c>
      <c r="P55" s="2"/>
    </row>
    <row r="56" spans="1:26" ht="17.25">
      <c r="A56" s="3"/>
      <c r="P56" s="2"/>
    </row>
    <row r="57" spans="1:26" ht="17.649999999999999" thickBot="1">
      <c r="A57" s="3"/>
      <c r="P57" s="2"/>
    </row>
    <row r="58" spans="1:26" ht="42" thickBot="1">
      <c r="A58" s="4" t="s">
        <v>22</v>
      </c>
      <c r="B58" s="4" t="s">
        <v>0</v>
      </c>
      <c r="C58" s="4" t="s">
        <v>1</v>
      </c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15" t="s">
        <v>65</v>
      </c>
      <c r="J58" s="17" t="s">
        <v>72</v>
      </c>
      <c r="P58" s="2"/>
    </row>
    <row r="59" spans="1:26" ht="14.25" thickBot="1">
      <c r="A59">
        <v>2007</v>
      </c>
      <c r="B59" s="4"/>
      <c r="C59" s="4">
        <v>11.77</v>
      </c>
      <c r="D59" s="4">
        <v>3.3</v>
      </c>
      <c r="E59" s="4">
        <v>11.76</v>
      </c>
      <c r="F59" s="4">
        <v>1.76</v>
      </c>
      <c r="G59" s="4">
        <v>77.680000000000007</v>
      </c>
      <c r="H59" s="4">
        <v>14.7</v>
      </c>
      <c r="I59" s="4"/>
      <c r="J59">
        <f t="shared" ref="J59:J64" si="31">SUM(B59:I59)</f>
        <v>120.97000000000001</v>
      </c>
      <c r="P59" s="2"/>
    </row>
    <row r="60" spans="1:26" ht="14.25" thickBot="1">
      <c r="A60">
        <v>2008</v>
      </c>
      <c r="B60" s="4"/>
      <c r="C60" s="4">
        <v>23.15</v>
      </c>
      <c r="D60" s="4">
        <v>11.42</v>
      </c>
      <c r="E60" s="4">
        <v>11.26</v>
      </c>
      <c r="F60" s="4">
        <v>2.5099999999999998</v>
      </c>
      <c r="G60" s="4">
        <v>72.930000000000007</v>
      </c>
      <c r="H60" s="4">
        <v>16.5</v>
      </c>
      <c r="I60" s="4"/>
      <c r="J60">
        <f t="shared" si="31"/>
        <v>137.77000000000001</v>
      </c>
      <c r="P60" s="2"/>
    </row>
    <row r="61" spans="1:26" ht="14.25" thickBot="1">
      <c r="A61">
        <v>2009</v>
      </c>
      <c r="B61" s="4">
        <v>6.8</v>
      </c>
      <c r="C61" s="4">
        <v>34.35</v>
      </c>
      <c r="D61" s="4">
        <v>24.89</v>
      </c>
      <c r="E61" s="4">
        <v>8.1300000000000008</v>
      </c>
      <c r="F61" s="4">
        <v>1.19</v>
      </c>
      <c r="G61" s="4">
        <v>80.88</v>
      </c>
      <c r="H61" s="4">
        <v>15.03</v>
      </c>
      <c r="I61" s="4"/>
      <c r="J61">
        <f t="shared" si="31"/>
        <v>171.26999999999998</v>
      </c>
      <c r="P61" s="2"/>
    </row>
    <row r="62" spans="1:26" ht="14.25" thickBot="1">
      <c r="A62">
        <v>2010</v>
      </c>
      <c r="B62" s="4">
        <v>67.22</v>
      </c>
      <c r="C62" s="4">
        <v>47.45</v>
      </c>
      <c r="D62" s="4">
        <v>46.6</v>
      </c>
      <c r="E62" s="4"/>
      <c r="F62" s="4"/>
      <c r="G62" s="4">
        <v>111.58</v>
      </c>
      <c r="H62" s="4">
        <v>12.38</v>
      </c>
      <c r="I62" s="4"/>
      <c r="J62">
        <f t="shared" si="31"/>
        <v>285.23</v>
      </c>
      <c r="P62" s="2"/>
    </row>
    <row r="63" spans="1:26" ht="14.25" thickBot="1">
      <c r="A63">
        <v>2011</v>
      </c>
      <c r="B63" s="4">
        <v>179.87</v>
      </c>
      <c r="C63" s="4">
        <v>62.6</v>
      </c>
      <c r="D63" s="4">
        <v>90.56</v>
      </c>
      <c r="E63" s="4"/>
      <c r="F63" s="4"/>
      <c r="G63" s="4">
        <v>89.93</v>
      </c>
      <c r="H63" s="4">
        <v>26.35</v>
      </c>
      <c r="I63" s="4">
        <v>18.39</v>
      </c>
      <c r="J63">
        <f t="shared" si="31"/>
        <v>467.7</v>
      </c>
      <c r="P63" s="2"/>
    </row>
    <row r="64" spans="1:26" ht="17.25">
      <c r="A64" s="3">
        <v>2012</v>
      </c>
      <c r="B64">
        <f>81*4</f>
        <v>324</v>
      </c>
      <c r="C64">
        <f>9.9*4</f>
        <v>39.6</v>
      </c>
      <c r="D64">
        <f>33.12*4</f>
        <v>132.47999999999999</v>
      </c>
      <c r="G64">
        <f>12.466*4</f>
        <v>49.863999999999997</v>
      </c>
      <c r="H64">
        <f>2.7*4</f>
        <v>10.8</v>
      </c>
      <c r="I64">
        <f>1.242*4</f>
        <v>4.968</v>
      </c>
      <c r="J64">
        <f t="shared" si="31"/>
        <v>561.71199999999999</v>
      </c>
      <c r="P64" s="2"/>
    </row>
    <row r="65" spans="1:19" ht="17.25">
      <c r="A65" s="3" t="s">
        <v>66</v>
      </c>
      <c r="B65" t="s">
        <v>7</v>
      </c>
      <c r="P65" s="2"/>
    </row>
    <row r="66" spans="1:19" ht="17.25">
      <c r="A66" s="3"/>
      <c r="P66" s="2"/>
    </row>
    <row r="67" spans="1:19" ht="17.25">
      <c r="A67" s="3"/>
      <c r="P67" s="2"/>
    </row>
    <row r="68" spans="1:19" ht="17.25">
      <c r="A68" s="3" t="s">
        <v>67</v>
      </c>
      <c r="E68" s="12" t="s">
        <v>71</v>
      </c>
      <c r="F68" s="12" t="s">
        <v>71</v>
      </c>
      <c r="P68" s="2"/>
    </row>
    <row r="69" spans="1:19" ht="17.25">
      <c r="A69" s="3" t="s">
        <v>68</v>
      </c>
      <c r="P69" s="2"/>
    </row>
    <row r="70" spans="1:19" ht="17.25">
      <c r="A70" s="3">
        <v>2000</v>
      </c>
      <c r="B70">
        <v>2003</v>
      </c>
      <c r="C70">
        <v>2005</v>
      </c>
      <c r="D70">
        <v>2006</v>
      </c>
      <c r="E70">
        <v>2008</v>
      </c>
      <c r="F70">
        <v>2010</v>
      </c>
      <c r="P70" s="2"/>
    </row>
    <row r="71" spans="1:19" ht="17.25">
      <c r="A71" s="3">
        <v>0.3</v>
      </c>
      <c r="B71">
        <v>7.4</v>
      </c>
      <c r="C71">
        <v>46.6</v>
      </c>
      <c r="D71">
        <v>69.23</v>
      </c>
      <c r="E71">
        <v>114.6</v>
      </c>
      <c r="F71">
        <v>163.80000000000001</v>
      </c>
      <c r="P71" s="2"/>
    </row>
    <row r="72" spans="1:19">
      <c r="A72" s="16" t="s">
        <v>75</v>
      </c>
      <c r="P72" s="2"/>
    </row>
    <row r="73" spans="1:19" ht="17.25">
      <c r="A73" s="3" t="s">
        <v>69</v>
      </c>
      <c r="H73" s="16" t="s">
        <v>85</v>
      </c>
      <c r="P73" s="2"/>
    </row>
    <row r="74" spans="1:19">
      <c r="A74" s="16" t="s">
        <v>70</v>
      </c>
      <c r="F74" s="16" t="s">
        <v>83</v>
      </c>
      <c r="P74" s="2"/>
    </row>
    <row r="75" spans="1:19" ht="17.25">
      <c r="A75">
        <v>2003</v>
      </c>
      <c r="B75">
        <v>2004</v>
      </c>
      <c r="C75" s="3">
        <v>2005</v>
      </c>
      <c r="D75">
        <v>2006</v>
      </c>
      <c r="E75">
        <v>2007</v>
      </c>
      <c r="F75">
        <v>2008</v>
      </c>
      <c r="G75" s="12">
        <v>2009</v>
      </c>
      <c r="H75" s="12">
        <v>2010</v>
      </c>
      <c r="I75">
        <v>2011</v>
      </c>
      <c r="P75" s="2"/>
    </row>
    <row r="76" spans="1:19" ht="17.25">
      <c r="B76" s="12" t="s">
        <v>73</v>
      </c>
      <c r="C76" s="3" t="s">
        <v>74</v>
      </c>
      <c r="D76">
        <v>80</v>
      </c>
      <c r="E76">
        <f>+F76/1.139</f>
        <v>122.30026338893768</v>
      </c>
      <c r="F76">
        <v>139.30000000000001</v>
      </c>
      <c r="G76">
        <f>+H76/1.72</f>
        <v>176.74418604651163</v>
      </c>
      <c r="H76">
        <f>1600*0.19</f>
        <v>304</v>
      </c>
      <c r="I76">
        <v>472</v>
      </c>
      <c r="K76" s="18" t="s">
        <v>84</v>
      </c>
      <c r="P76" s="2"/>
    </row>
    <row r="77" spans="1:19" ht="17.25">
      <c r="A77" s="3" t="s">
        <v>22</v>
      </c>
      <c r="B77" s="12" t="s">
        <v>76</v>
      </c>
      <c r="C77" s="12" t="s">
        <v>77</v>
      </c>
      <c r="D77" s="12" t="s">
        <v>78</v>
      </c>
      <c r="E77" s="12" t="s">
        <v>79</v>
      </c>
      <c r="F77" s="12" t="s">
        <v>80</v>
      </c>
      <c r="G77" s="12" t="s">
        <v>81</v>
      </c>
      <c r="H77" s="12" t="s">
        <v>82</v>
      </c>
      <c r="I77" s="12" t="s">
        <v>3</v>
      </c>
      <c r="J77" s="12" t="s">
        <v>65</v>
      </c>
      <c r="K77" s="3" t="s">
        <v>22</v>
      </c>
      <c r="L77" s="12" t="s">
        <v>77</v>
      </c>
      <c r="M77" s="12" t="s">
        <v>78</v>
      </c>
      <c r="N77" s="12" t="s">
        <v>79</v>
      </c>
      <c r="O77" s="12" t="s">
        <v>80</v>
      </c>
      <c r="P77" s="12" t="s">
        <v>81</v>
      </c>
      <c r="Q77" s="12" t="s">
        <v>82</v>
      </c>
      <c r="R77" s="12" t="s">
        <v>3</v>
      </c>
      <c r="S77" s="12" t="s">
        <v>65</v>
      </c>
    </row>
    <row r="78" spans="1:19" ht="17.25">
      <c r="A78" s="3">
        <v>2000</v>
      </c>
      <c r="B78">
        <v>0.3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0.3</v>
      </c>
      <c r="K78" s="3">
        <v>2000</v>
      </c>
      <c r="L78">
        <f>+C78/B78*100</f>
        <v>0</v>
      </c>
      <c r="M78">
        <f>+D78/B78*100</f>
        <v>0</v>
      </c>
      <c r="N78">
        <f>+E78/B78*100</f>
        <v>0</v>
      </c>
      <c r="O78">
        <f>+F78/B78*100</f>
        <v>0</v>
      </c>
      <c r="P78" s="13">
        <f>+G78/B78*100</f>
        <v>0</v>
      </c>
      <c r="Q78">
        <f>+H78/B78*100</f>
        <v>0</v>
      </c>
      <c r="R78">
        <f>+I78/B78*100</f>
        <v>0</v>
      </c>
      <c r="S78">
        <f>+J78/B78*100</f>
        <v>100</v>
      </c>
    </row>
    <row r="79" spans="1:19" ht="17.25">
      <c r="A79" s="3">
        <v>2001</v>
      </c>
      <c r="B79">
        <v>3</v>
      </c>
      <c r="C79">
        <v>0.5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f>+B79-C79</f>
        <v>2.5</v>
      </c>
      <c r="K79" s="3">
        <v>2001</v>
      </c>
      <c r="L79">
        <f t="shared" ref="L79:L90" si="32">+C79/B79*100</f>
        <v>16.666666666666664</v>
      </c>
      <c r="M79">
        <f t="shared" ref="M79:M90" si="33">+D79/B79*100</f>
        <v>0</v>
      </c>
      <c r="N79">
        <f t="shared" ref="N79:N90" si="34">+E79/B79*100</f>
        <v>0</v>
      </c>
      <c r="O79">
        <f t="shared" ref="O79:O90" si="35">+F79/B79*100</f>
        <v>0</v>
      </c>
      <c r="P79" s="13">
        <f t="shared" ref="P79:P90" si="36">+G79/B79*100</f>
        <v>0</v>
      </c>
      <c r="Q79">
        <f t="shared" ref="Q79:Q90" si="37">+H79/B79*100</f>
        <v>0</v>
      </c>
      <c r="R79">
        <f t="shared" ref="R79:R90" si="38">+I79/B79*100</f>
        <v>0</v>
      </c>
      <c r="S79">
        <f t="shared" ref="S79:S90" si="39">+J79/B79*100</f>
        <v>83.333333333333343</v>
      </c>
    </row>
    <row r="80" spans="1:19" ht="17.25">
      <c r="A80" s="3">
        <v>2002</v>
      </c>
      <c r="B80">
        <f>423*0.01</f>
        <v>4.2300000000000004</v>
      </c>
      <c r="C80">
        <v>2.1</v>
      </c>
      <c r="D80">
        <v>0.3</v>
      </c>
      <c r="E80">
        <v>0.3</v>
      </c>
      <c r="F80" s="12">
        <v>0</v>
      </c>
      <c r="G80">
        <v>0</v>
      </c>
      <c r="H80">
        <v>0</v>
      </c>
      <c r="I80">
        <v>0</v>
      </c>
      <c r="J80">
        <f t="shared" ref="J80:J90" si="40">+B80-SUM(C80:I80)</f>
        <v>1.5300000000000007</v>
      </c>
      <c r="K80" s="3">
        <v>2002</v>
      </c>
      <c r="L80">
        <f t="shared" si="32"/>
        <v>49.645390070921984</v>
      </c>
      <c r="M80">
        <f t="shared" si="33"/>
        <v>7.0921985815602824</v>
      </c>
      <c r="N80">
        <f t="shared" si="34"/>
        <v>7.0921985815602824</v>
      </c>
      <c r="O80">
        <f t="shared" si="35"/>
        <v>0</v>
      </c>
      <c r="P80" s="13">
        <f t="shared" si="36"/>
        <v>0</v>
      </c>
      <c r="Q80">
        <f t="shared" si="37"/>
        <v>0</v>
      </c>
      <c r="R80">
        <f t="shared" si="38"/>
        <v>0</v>
      </c>
      <c r="S80">
        <f t="shared" si="39"/>
        <v>36.170212765957459</v>
      </c>
    </row>
    <row r="81" spans="1:21" ht="17.25">
      <c r="A81" s="3">
        <v>2003</v>
      </c>
      <c r="B81">
        <v>7.4</v>
      </c>
      <c r="C81">
        <f>+B81*0.88</f>
        <v>6.5120000000000005</v>
      </c>
      <c r="D81">
        <v>0.3</v>
      </c>
      <c r="E81">
        <v>0.2</v>
      </c>
      <c r="F81" s="12">
        <v>0.2</v>
      </c>
      <c r="G81">
        <v>0</v>
      </c>
      <c r="H81">
        <v>0</v>
      </c>
      <c r="I81">
        <v>0</v>
      </c>
      <c r="J81">
        <f t="shared" si="40"/>
        <v>0.18799999999999972</v>
      </c>
      <c r="K81" s="3">
        <v>2003</v>
      </c>
      <c r="L81">
        <f t="shared" si="32"/>
        <v>88</v>
      </c>
      <c r="M81">
        <f t="shared" si="33"/>
        <v>4.0540540540540535</v>
      </c>
      <c r="N81">
        <f t="shared" si="34"/>
        <v>2.7027027027027026</v>
      </c>
      <c r="O81">
        <f t="shared" si="35"/>
        <v>2.7027027027027026</v>
      </c>
      <c r="P81" s="13">
        <f t="shared" si="36"/>
        <v>0</v>
      </c>
      <c r="Q81">
        <f t="shared" si="37"/>
        <v>0</v>
      </c>
      <c r="R81">
        <f t="shared" si="38"/>
        <v>0</v>
      </c>
      <c r="S81">
        <f t="shared" si="39"/>
        <v>2.5405405405405368</v>
      </c>
    </row>
    <row r="82" spans="1:21" ht="17.25">
      <c r="A82" s="3">
        <v>2004</v>
      </c>
      <c r="B82">
        <v>15.5</v>
      </c>
      <c r="C82">
        <f>+B82*0.56</f>
        <v>8.6800000000000015</v>
      </c>
      <c r="D82">
        <f>+B82*0.126</f>
        <v>1.9530000000000001</v>
      </c>
      <c r="E82">
        <v>0.7</v>
      </c>
      <c r="F82">
        <f>+F83/1.75</f>
        <v>1.5999999999999999</v>
      </c>
      <c r="G82">
        <v>0</v>
      </c>
      <c r="H82">
        <v>0</v>
      </c>
      <c r="I82">
        <f>+B82*0.11</f>
        <v>1.7050000000000001</v>
      </c>
      <c r="J82">
        <f t="shared" si="40"/>
        <v>0.8620000000000001</v>
      </c>
      <c r="K82" s="3">
        <v>2004</v>
      </c>
      <c r="L82">
        <f t="shared" si="32"/>
        <v>56.000000000000007</v>
      </c>
      <c r="M82">
        <f t="shared" si="33"/>
        <v>12.6</v>
      </c>
      <c r="N82">
        <f t="shared" si="34"/>
        <v>4.5161290322580641</v>
      </c>
      <c r="O82">
        <f t="shared" si="35"/>
        <v>10.322580645161288</v>
      </c>
      <c r="P82" s="13">
        <f t="shared" si="36"/>
        <v>0</v>
      </c>
      <c r="Q82">
        <f t="shared" si="37"/>
        <v>0</v>
      </c>
      <c r="R82">
        <f t="shared" si="38"/>
        <v>11</v>
      </c>
      <c r="S82">
        <f t="shared" si="39"/>
        <v>5.5612903225806454</v>
      </c>
    </row>
    <row r="83" spans="1:21" ht="17.25">
      <c r="A83" s="3">
        <v>2005</v>
      </c>
      <c r="B83">
        <v>46.6</v>
      </c>
      <c r="C83">
        <f>+B83*0.51</f>
        <v>23.766000000000002</v>
      </c>
      <c r="D83">
        <f>+B83*0.17</f>
        <v>7.9220000000000006</v>
      </c>
      <c r="E83">
        <v>1.1000000000000001</v>
      </c>
      <c r="F83">
        <f>0.7*4</f>
        <v>2.8</v>
      </c>
      <c r="G83">
        <v>0</v>
      </c>
      <c r="H83">
        <v>0</v>
      </c>
      <c r="I83">
        <f>+B83*0.23</f>
        <v>10.718</v>
      </c>
      <c r="J83">
        <f t="shared" si="40"/>
        <v>0.29400000000000404</v>
      </c>
      <c r="K83" s="3">
        <v>2005</v>
      </c>
      <c r="L83">
        <f t="shared" si="32"/>
        <v>51</v>
      </c>
      <c r="M83">
        <f t="shared" si="33"/>
        <v>17</v>
      </c>
      <c r="N83">
        <f t="shared" si="34"/>
        <v>2.3605150214592276</v>
      </c>
      <c r="O83">
        <f t="shared" si="35"/>
        <v>6.0085836909871233</v>
      </c>
      <c r="P83" s="13">
        <f t="shared" si="36"/>
        <v>0</v>
      </c>
      <c r="Q83">
        <f t="shared" si="37"/>
        <v>0</v>
      </c>
      <c r="R83">
        <f t="shared" si="38"/>
        <v>23</v>
      </c>
      <c r="S83">
        <f t="shared" si="39"/>
        <v>0.63090128755365671</v>
      </c>
    </row>
    <row r="84" spans="1:21" ht="17.649999999999999" thickBot="1">
      <c r="A84" s="3">
        <v>2006</v>
      </c>
      <c r="B84">
        <v>80</v>
      </c>
      <c r="C84">
        <f>+B84*0.67</f>
        <v>53.6</v>
      </c>
      <c r="D84">
        <f>+B84*0.14</f>
        <v>11.200000000000001</v>
      </c>
      <c r="E84">
        <f>+B84*0.055</f>
        <v>4.4000000000000004</v>
      </c>
      <c r="F84">
        <f>+B84*0.07</f>
        <v>5.6000000000000005</v>
      </c>
      <c r="G84">
        <v>0</v>
      </c>
      <c r="H84">
        <v>0</v>
      </c>
      <c r="I84">
        <f>+B84*0.06</f>
        <v>4.8</v>
      </c>
      <c r="J84">
        <f t="shared" si="40"/>
        <v>0.40000000000000568</v>
      </c>
      <c r="K84" s="3">
        <v>2006</v>
      </c>
      <c r="L84">
        <f t="shared" si="32"/>
        <v>67</v>
      </c>
      <c r="M84">
        <f t="shared" si="33"/>
        <v>14.000000000000002</v>
      </c>
      <c r="N84">
        <f t="shared" si="34"/>
        <v>5.5000000000000009</v>
      </c>
      <c r="O84">
        <f t="shared" si="35"/>
        <v>7.0000000000000009</v>
      </c>
      <c r="P84" s="13">
        <f t="shared" si="36"/>
        <v>0</v>
      </c>
      <c r="Q84">
        <f t="shared" si="37"/>
        <v>0</v>
      </c>
      <c r="R84">
        <f t="shared" si="38"/>
        <v>6</v>
      </c>
      <c r="S84">
        <f t="shared" si="39"/>
        <v>0.50000000000000711</v>
      </c>
    </row>
    <row r="85" spans="1:21" ht="17.649999999999999" thickBot="1">
      <c r="A85" s="3">
        <v>2007</v>
      </c>
      <c r="B85">
        <v>122.3</v>
      </c>
      <c r="C85" s="4">
        <v>77.680000000000007</v>
      </c>
      <c r="D85" s="4">
        <v>14.7</v>
      </c>
      <c r="E85" s="4">
        <v>1.76</v>
      </c>
      <c r="F85" s="4">
        <v>11.77</v>
      </c>
      <c r="G85" s="4"/>
      <c r="H85" s="4">
        <v>3.3</v>
      </c>
      <c r="I85" s="4">
        <v>11.76</v>
      </c>
      <c r="J85">
        <f t="shared" si="40"/>
        <v>1.3299999999999841</v>
      </c>
      <c r="K85" s="3">
        <v>2007</v>
      </c>
      <c r="L85">
        <f t="shared" si="32"/>
        <v>63.515944399018807</v>
      </c>
      <c r="M85">
        <f t="shared" si="33"/>
        <v>12.019623875715453</v>
      </c>
      <c r="N85">
        <f t="shared" si="34"/>
        <v>1.4390842191332789</v>
      </c>
      <c r="O85">
        <f t="shared" si="35"/>
        <v>9.623875715453801</v>
      </c>
      <c r="P85" s="13">
        <f t="shared" si="36"/>
        <v>0</v>
      </c>
      <c r="Q85">
        <f t="shared" si="37"/>
        <v>2.698282910874898</v>
      </c>
      <c r="R85">
        <f t="shared" si="38"/>
        <v>9.6156991005723622</v>
      </c>
      <c r="S85">
        <f t="shared" si="39"/>
        <v>1.0874897792313851</v>
      </c>
    </row>
    <row r="86" spans="1:21" ht="17.649999999999999" thickBot="1">
      <c r="A86" s="3">
        <v>2008</v>
      </c>
      <c r="B86">
        <v>139.30000000000001</v>
      </c>
      <c r="C86" s="4">
        <v>72.930000000000007</v>
      </c>
      <c r="D86" s="4">
        <v>16.5</v>
      </c>
      <c r="E86" s="4">
        <v>2.5099999999999998</v>
      </c>
      <c r="F86" s="4">
        <v>23.15</v>
      </c>
      <c r="G86" s="4"/>
      <c r="H86" s="4">
        <v>11.42</v>
      </c>
      <c r="I86" s="4">
        <v>11.26</v>
      </c>
      <c r="J86">
        <f t="shared" si="40"/>
        <v>1.5300000000000011</v>
      </c>
      <c r="K86" s="3">
        <v>2008</v>
      </c>
      <c r="L86">
        <f t="shared" si="32"/>
        <v>52.354630294328786</v>
      </c>
      <c r="M86">
        <f t="shared" si="33"/>
        <v>11.844938980617371</v>
      </c>
      <c r="N86">
        <f t="shared" si="34"/>
        <v>1.8018664752333091</v>
      </c>
      <c r="O86">
        <f t="shared" si="35"/>
        <v>16.61880832735104</v>
      </c>
      <c r="P86" s="13">
        <f t="shared" si="36"/>
        <v>0</v>
      </c>
      <c r="Q86">
        <f t="shared" si="37"/>
        <v>8.1981335247666909</v>
      </c>
      <c r="R86">
        <f t="shared" si="38"/>
        <v>8.0832735104091871</v>
      </c>
      <c r="S86">
        <f t="shared" si="39"/>
        <v>1.0983488872936118</v>
      </c>
    </row>
    <row r="87" spans="1:21" ht="17.649999999999999" thickBot="1">
      <c r="A87" s="3">
        <v>2009</v>
      </c>
      <c r="B87">
        <v>176.7</v>
      </c>
      <c r="C87" s="4">
        <v>80.88</v>
      </c>
      <c r="D87" s="4">
        <v>15.03</v>
      </c>
      <c r="E87" s="4">
        <v>1.19</v>
      </c>
      <c r="F87" s="4">
        <v>34.35</v>
      </c>
      <c r="G87" s="4">
        <v>6.8</v>
      </c>
      <c r="H87" s="4">
        <v>24.89</v>
      </c>
      <c r="I87" s="4">
        <v>8.1300000000000008</v>
      </c>
      <c r="J87">
        <f t="shared" si="40"/>
        <v>5.4300000000000068</v>
      </c>
      <c r="K87" s="3">
        <v>2009</v>
      </c>
      <c r="L87">
        <f t="shared" si="32"/>
        <v>45.772495755517831</v>
      </c>
      <c r="M87">
        <f t="shared" si="33"/>
        <v>8.5059422750424449</v>
      </c>
      <c r="N87">
        <f t="shared" si="34"/>
        <v>0.67345783814374649</v>
      </c>
      <c r="O87">
        <f t="shared" si="35"/>
        <v>19.439728353140922</v>
      </c>
      <c r="P87" s="13">
        <f t="shared" si="36"/>
        <v>3.8483305036785516</v>
      </c>
      <c r="Q87">
        <f t="shared" si="37"/>
        <v>14.086021505376344</v>
      </c>
      <c r="R87">
        <f t="shared" si="38"/>
        <v>4.6010186757215621</v>
      </c>
      <c r="S87">
        <f t="shared" si="39"/>
        <v>3.0730050933786122</v>
      </c>
    </row>
    <row r="88" spans="1:21" ht="17.649999999999999" thickBot="1">
      <c r="A88" s="3">
        <v>2010</v>
      </c>
      <c r="B88">
        <v>304</v>
      </c>
      <c r="C88" s="4">
        <v>111.58</v>
      </c>
      <c r="D88" s="4">
        <v>12.38</v>
      </c>
      <c r="E88" s="4">
        <v>0.4</v>
      </c>
      <c r="F88" s="4">
        <v>47.45</v>
      </c>
      <c r="G88" s="4">
        <v>67.22</v>
      </c>
      <c r="H88" s="4">
        <v>46.6</v>
      </c>
      <c r="I88" s="4"/>
      <c r="J88">
        <f t="shared" si="40"/>
        <v>18.370000000000005</v>
      </c>
      <c r="K88" s="3">
        <v>2010</v>
      </c>
      <c r="L88">
        <f t="shared" si="32"/>
        <v>36.703947368421055</v>
      </c>
      <c r="M88">
        <f t="shared" si="33"/>
        <v>4.0723684210526319</v>
      </c>
      <c r="N88">
        <f t="shared" si="34"/>
        <v>0.13157894736842105</v>
      </c>
      <c r="O88">
        <f t="shared" si="35"/>
        <v>15.608552631578949</v>
      </c>
      <c r="P88" s="13">
        <f t="shared" si="36"/>
        <v>22.111842105263158</v>
      </c>
      <c r="Q88">
        <f t="shared" si="37"/>
        <v>15.328947368421053</v>
      </c>
      <c r="R88">
        <f t="shared" si="38"/>
        <v>0</v>
      </c>
      <c r="S88">
        <f t="shared" si="39"/>
        <v>6.0427631578947389</v>
      </c>
    </row>
    <row r="89" spans="1:21" ht="17.649999999999999" thickBot="1">
      <c r="A89" s="3">
        <v>2011</v>
      </c>
      <c r="B89">
        <v>472</v>
      </c>
      <c r="C89" s="4">
        <v>89.93</v>
      </c>
      <c r="D89" s="4">
        <v>26.35</v>
      </c>
      <c r="E89" s="4"/>
      <c r="F89" s="4">
        <v>62.6</v>
      </c>
      <c r="G89" s="4">
        <v>179.87</v>
      </c>
      <c r="H89" s="4">
        <v>90.56</v>
      </c>
      <c r="I89" s="4"/>
      <c r="J89">
        <f t="shared" si="40"/>
        <v>22.689999999999998</v>
      </c>
      <c r="K89" s="3">
        <v>2011</v>
      </c>
      <c r="L89">
        <f t="shared" si="32"/>
        <v>19.052966101694917</v>
      </c>
      <c r="M89">
        <f t="shared" si="33"/>
        <v>5.5826271186440675</v>
      </c>
      <c r="N89">
        <f t="shared" si="34"/>
        <v>0</v>
      </c>
      <c r="O89">
        <f t="shared" si="35"/>
        <v>13.262711864406779</v>
      </c>
      <c r="P89" s="13">
        <f t="shared" si="36"/>
        <v>38.108050847457633</v>
      </c>
      <c r="Q89">
        <f t="shared" si="37"/>
        <v>19.1864406779661</v>
      </c>
      <c r="R89">
        <f t="shared" si="38"/>
        <v>0</v>
      </c>
      <c r="S89">
        <f t="shared" si="39"/>
        <v>4.8072033898305087</v>
      </c>
    </row>
    <row r="90" spans="1:21" ht="17.25">
      <c r="A90" s="3">
        <v>2012</v>
      </c>
      <c r="B90">
        <f>+B89*1.22</f>
        <v>575.84</v>
      </c>
      <c r="C90">
        <f>12.466*4</f>
        <v>49.863999999999997</v>
      </c>
      <c r="D90">
        <f>2.7*4</f>
        <v>10.8</v>
      </c>
      <c r="F90">
        <f>9.9*4</f>
        <v>39.6</v>
      </c>
      <c r="G90">
        <f>81*4</f>
        <v>324</v>
      </c>
      <c r="H90">
        <f>33.12*4</f>
        <v>132.47999999999999</v>
      </c>
      <c r="J90">
        <f t="shared" si="40"/>
        <v>19.096000000000004</v>
      </c>
      <c r="K90" s="3">
        <v>2012</v>
      </c>
      <c r="L90">
        <f t="shared" si="32"/>
        <v>8.6593498193942757</v>
      </c>
      <c r="M90">
        <f t="shared" si="33"/>
        <v>1.8755209780494582</v>
      </c>
      <c r="N90">
        <f t="shared" si="34"/>
        <v>0</v>
      </c>
      <c r="O90">
        <f t="shared" si="35"/>
        <v>6.8769102528480133</v>
      </c>
      <c r="P90" s="13">
        <f t="shared" si="36"/>
        <v>56.265629341483745</v>
      </c>
      <c r="Q90">
        <f t="shared" si="37"/>
        <v>23.006390664073351</v>
      </c>
      <c r="R90">
        <f t="shared" si="38"/>
        <v>0</v>
      </c>
      <c r="S90">
        <f t="shared" si="39"/>
        <v>3.3161989441511537</v>
      </c>
    </row>
    <row r="91" spans="1:21" ht="17.25">
      <c r="A91" s="3"/>
      <c r="I91" t="s">
        <v>86</v>
      </c>
      <c r="P91" s="2"/>
    </row>
    <row r="92" spans="1:21" ht="13.15">
      <c r="A92" s="6" t="s">
        <v>14</v>
      </c>
      <c r="B92" t="s">
        <v>15</v>
      </c>
      <c r="C92" t="s">
        <v>16</v>
      </c>
      <c r="D92" t="s">
        <v>17</v>
      </c>
      <c r="E92" t="s">
        <v>18</v>
      </c>
      <c r="F92" t="s">
        <v>19</v>
      </c>
      <c r="G92" t="s">
        <v>20</v>
      </c>
      <c r="H92" t="s">
        <v>21</v>
      </c>
      <c r="P92" s="20" t="s">
        <v>98</v>
      </c>
      <c r="Q92" s="21">
        <v>2010</v>
      </c>
      <c r="R92" s="21">
        <v>2011</v>
      </c>
      <c r="S92" s="21">
        <v>2012</v>
      </c>
    </row>
    <row r="93" spans="1:21">
      <c r="A93" s="9">
        <v>2010</v>
      </c>
      <c r="B93" s="10">
        <v>2512</v>
      </c>
      <c r="C93" s="10">
        <v>14685</v>
      </c>
      <c r="D93" s="7">
        <v>179</v>
      </c>
      <c r="E93" s="10">
        <v>0</v>
      </c>
      <c r="F93" s="10">
        <v>0</v>
      </c>
      <c r="G93" s="10">
        <v>0</v>
      </c>
      <c r="H93" s="10">
        <v>235</v>
      </c>
      <c r="I93" s="12" t="s">
        <v>76</v>
      </c>
      <c r="J93" t="s">
        <v>22</v>
      </c>
      <c r="K93" t="s">
        <v>96</v>
      </c>
      <c r="L93" t="s">
        <v>81</v>
      </c>
      <c r="M93" t="s">
        <v>11</v>
      </c>
      <c r="N93" s="12" t="s">
        <v>10</v>
      </c>
      <c r="O93" t="s">
        <v>97</v>
      </c>
      <c r="P93" s="22" t="s">
        <v>99</v>
      </c>
      <c r="Q93" s="23" t="s">
        <v>100</v>
      </c>
      <c r="R93" s="24">
        <v>39998</v>
      </c>
      <c r="S93" s="31">
        <v>69025</v>
      </c>
      <c r="T93" s="19"/>
      <c r="U93" s="19"/>
    </row>
    <row r="94" spans="1:21">
      <c r="A94" s="5">
        <v>2011</v>
      </c>
      <c r="B94" s="10">
        <v>14685</v>
      </c>
      <c r="C94" s="10">
        <v>46697</v>
      </c>
      <c r="D94" s="10">
        <v>476</v>
      </c>
      <c r="E94" s="10">
        <v>0</v>
      </c>
      <c r="F94" s="10">
        <v>3016</v>
      </c>
      <c r="G94" s="10">
        <v>2053</v>
      </c>
      <c r="H94" s="10">
        <v>375</v>
      </c>
      <c r="I94">
        <f>0.2*H96</f>
        <v>3522</v>
      </c>
      <c r="J94" t="s">
        <v>87</v>
      </c>
      <c r="K94" s="10">
        <f>3270/I94*100</f>
        <v>92.844974446337318</v>
      </c>
      <c r="L94" s="29">
        <f>100-K94</f>
        <v>7.1550255536626821</v>
      </c>
      <c r="M94">
        <v>0</v>
      </c>
      <c r="N94">
        <v>0</v>
      </c>
      <c r="O94">
        <v>0</v>
      </c>
      <c r="P94" s="22" t="s">
        <v>101</v>
      </c>
      <c r="Q94" s="23">
        <v>83.9</v>
      </c>
      <c r="R94" s="27">
        <f>+R93/R105*100</f>
        <v>66.644450738957289</v>
      </c>
      <c r="S94" s="27">
        <f>+S93/S105*100</f>
        <v>66.704355473091155</v>
      </c>
      <c r="T94" s="21">
        <v>2016</v>
      </c>
      <c r="U94" s="19"/>
    </row>
    <row r="95" spans="1:21">
      <c r="A95" s="5"/>
      <c r="B95" s="7"/>
      <c r="C95" s="7"/>
      <c r="D95" s="7"/>
      <c r="E95" s="7"/>
      <c r="I95">
        <f>0.3*H96</f>
        <v>5283</v>
      </c>
      <c r="J95" t="s">
        <v>88</v>
      </c>
      <c r="K95" s="13">
        <f>4180/I95*100</f>
        <v>79.121711148968387</v>
      </c>
      <c r="L95" s="29">
        <f>100-K95</f>
        <v>20.878288851031613</v>
      </c>
      <c r="M95">
        <v>0</v>
      </c>
      <c r="N95">
        <v>0</v>
      </c>
      <c r="O95">
        <v>0</v>
      </c>
      <c r="P95" s="22" t="s">
        <v>81</v>
      </c>
      <c r="Q95" s="24">
        <v>2502</v>
      </c>
      <c r="R95" s="24">
        <v>17292</v>
      </c>
      <c r="S95" s="31">
        <v>22875</v>
      </c>
      <c r="T95" s="24">
        <v>99553</v>
      </c>
      <c r="U95" s="24">
        <v>169652</v>
      </c>
    </row>
    <row r="96" spans="1:21">
      <c r="A96" s="5"/>
      <c r="B96" s="7"/>
      <c r="C96" s="7"/>
      <c r="D96" s="10"/>
      <c r="E96" s="10"/>
      <c r="G96" s="12" t="s">
        <v>106</v>
      </c>
      <c r="H96">
        <v>17610</v>
      </c>
      <c r="I96">
        <f>0.5*H96</f>
        <v>8805</v>
      </c>
      <c r="J96" t="s">
        <v>89</v>
      </c>
      <c r="K96" s="13">
        <f>7313/I96*100</f>
        <v>83.055082339579783</v>
      </c>
      <c r="L96" s="29">
        <f>100-K96</f>
        <v>16.944917660420217</v>
      </c>
      <c r="M96">
        <v>0</v>
      </c>
      <c r="N96">
        <v>0</v>
      </c>
      <c r="O96">
        <v>0</v>
      </c>
      <c r="P96" s="22" t="s">
        <v>101</v>
      </c>
      <c r="Q96" s="23">
        <v>14.2</v>
      </c>
      <c r="R96" s="28">
        <f>+R95/R105*100</f>
        <v>28.811836646283552</v>
      </c>
      <c r="S96" s="28">
        <f>+S95/S105*100</f>
        <v>22.10593453744238</v>
      </c>
      <c r="T96" s="24">
        <v>61684</v>
      </c>
      <c r="U96" s="24">
        <v>137657</v>
      </c>
    </row>
    <row r="97" spans="1:21">
      <c r="A97" s="5"/>
      <c r="B97" s="7"/>
      <c r="C97" s="10"/>
      <c r="D97" s="10"/>
      <c r="E97" s="10"/>
      <c r="I97">
        <f>0.1*H100</f>
        <v>6001.7000000000007</v>
      </c>
      <c r="J97" t="s">
        <v>90</v>
      </c>
      <c r="K97" s="29">
        <f>4690/I97*100</f>
        <v>78.144525717713307</v>
      </c>
      <c r="L97" s="29">
        <f>100-K97</f>
        <v>21.855474282286693</v>
      </c>
      <c r="M97">
        <v>0</v>
      </c>
      <c r="N97">
        <v>0</v>
      </c>
      <c r="O97">
        <v>0</v>
      </c>
      <c r="P97" s="22" t="s">
        <v>8</v>
      </c>
      <c r="Q97" s="23">
        <v>107</v>
      </c>
      <c r="R97" s="32">
        <v>476</v>
      </c>
      <c r="S97" s="23">
        <v>490</v>
      </c>
      <c r="T97" s="24">
        <v>14547</v>
      </c>
      <c r="U97" s="24">
        <v>43648</v>
      </c>
    </row>
    <row r="98" spans="1:21">
      <c r="A98" s="5"/>
      <c r="B98" s="7"/>
      <c r="C98" s="10"/>
      <c r="D98" s="7"/>
      <c r="E98" s="7"/>
      <c r="I98">
        <f>0.2*H100</f>
        <v>12003.400000000001</v>
      </c>
      <c r="J98" t="s">
        <v>91</v>
      </c>
      <c r="K98" s="13">
        <f>9250/I98*100</f>
        <v>77.061499241881464</v>
      </c>
      <c r="L98" s="29">
        <f>100-K98-N98</f>
        <v>18.232334171984608</v>
      </c>
      <c r="M98">
        <v>0</v>
      </c>
      <c r="N98" s="13">
        <f>807*0.7/I98*100</f>
        <v>4.7061665861339277</v>
      </c>
      <c r="O98">
        <v>0</v>
      </c>
      <c r="P98" s="22" t="s">
        <v>101</v>
      </c>
      <c r="Q98" s="23">
        <v>0.6</v>
      </c>
      <c r="R98" s="28">
        <f>+R97/R105*100</f>
        <v>0.79310861922455311</v>
      </c>
      <c r="S98" s="28">
        <f>+S97/S105*100</f>
        <v>0.47352602943592415</v>
      </c>
      <c r="T98" s="24">
        <v>6036</v>
      </c>
      <c r="U98" s="24">
        <v>17836</v>
      </c>
    </row>
    <row r="99" spans="1:21">
      <c r="A99" s="5"/>
      <c r="B99" s="7"/>
      <c r="C99" s="7"/>
      <c r="D99" s="7"/>
      <c r="E99" s="7"/>
      <c r="I99">
        <f>0.3*H100</f>
        <v>18005.099999999999</v>
      </c>
      <c r="J99" t="s">
        <v>92</v>
      </c>
      <c r="K99" s="13">
        <f>11120/I99*100</f>
        <v>61.760279032052033</v>
      </c>
      <c r="L99" s="29">
        <f>100-K99-M99-N99</f>
        <v>33.475101943338274</v>
      </c>
      <c r="M99">
        <v>3.42</v>
      </c>
      <c r="N99" s="13">
        <f>807*0.3/I99*100</f>
        <v>1.3446190246096941</v>
      </c>
      <c r="O99">
        <v>0</v>
      </c>
      <c r="P99" s="22" t="s">
        <v>11</v>
      </c>
      <c r="Q99" s="23">
        <v>0</v>
      </c>
      <c r="R99" s="23">
        <v>2053</v>
      </c>
      <c r="S99">
        <v>0</v>
      </c>
      <c r="T99" s="19"/>
      <c r="U99" s="19"/>
    </row>
    <row r="100" spans="1:21">
      <c r="G100" s="12" t="s">
        <v>106</v>
      </c>
      <c r="H100">
        <v>60017</v>
      </c>
      <c r="I100">
        <f>0.4*H100</f>
        <v>24006.800000000003</v>
      </c>
      <c r="J100" t="s">
        <v>93</v>
      </c>
      <c r="K100" s="13">
        <f>15430/I100*100</f>
        <v>64.273455854174642</v>
      </c>
      <c r="L100" s="29">
        <f>100-K100-N100</f>
        <v>35.309995501274649</v>
      </c>
      <c r="M100">
        <v>0</v>
      </c>
      <c r="N100" s="13">
        <f>100/I100*100</f>
        <v>0.41654864455071056</v>
      </c>
      <c r="O100">
        <v>0</v>
      </c>
      <c r="P100" s="22" t="s">
        <v>101</v>
      </c>
      <c r="Q100" s="23">
        <v>0</v>
      </c>
      <c r="R100" s="28">
        <f>+R99/R105*100</f>
        <v>3.4206974690504355</v>
      </c>
      <c r="S100" s="23">
        <v>0</v>
      </c>
    </row>
    <row r="101" spans="1:21">
      <c r="I101">
        <v>17400</v>
      </c>
      <c r="J101" t="s">
        <v>94</v>
      </c>
      <c r="K101" s="13">
        <f>11800/I101*100</f>
        <v>67.81609195402298</v>
      </c>
      <c r="L101" s="13">
        <f>100-K101-N101</f>
        <v>31.034482758620697</v>
      </c>
      <c r="M101">
        <v>0</v>
      </c>
      <c r="N101" s="13">
        <f>200/I101*100</f>
        <v>1.1494252873563218</v>
      </c>
      <c r="O101">
        <v>0</v>
      </c>
      <c r="P101" s="22" t="s">
        <v>10</v>
      </c>
      <c r="Q101" s="23">
        <v>0</v>
      </c>
      <c r="R101" s="23">
        <v>807</v>
      </c>
      <c r="S101" s="31">
        <v>2643</v>
      </c>
    </row>
    <row r="102" spans="1:21">
      <c r="I102">
        <f>0.2*H104</f>
        <v>20695.800000000003</v>
      </c>
      <c r="J102" t="s">
        <v>95</v>
      </c>
      <c r="K102" s="13"/>
      <c r="O102">
        <v>0</v>
      </c>
      <c r="P102" s="22" t="s">
        <v>101</v>
      </c>
      <c r="Q102" s="23">
        <v>0</v>
      </c>
      <c r="R102" s="28">
        <f>+R101/R105*100</f>
        <v>1.3446190246096941</v>
      </c>
      <c r="S102" s="28">
        <f>+S101/S105*100</f>
        <v>2.5541414199982606</v>
      </c>
    </row>
    <row r="103" spans="1:21">
      <c r="I103">
        <f>0.25*H104</f>
        <v>25869.75</v>
      </c>
      <c r="J103" s="12" t="s">
        <v>107</v>
      </c>
      <c r="P103" s="22" t="s">
        <v>12</v>
      </c>
      <c r="Q103" s="23">
        <v>234</v>
      </c>
      <c r="R103" s="24">
        <v>1919</v>
      </c>
      <c r="S103" s="32">
        <v>510</v>
      </c>
    </row>
    <row r="104" spans="1:21">
      <c r="G104" s="12" t="s">
        <v>106</v>
      </c>
      <c r="H104">
        <v>103479</v>
      </c>
      <c r="I104">
        <f>0.4*H104</f>
        <v>41391.600000000006</v>
      </c>
      <c r="J104" s="12" t="s">
        <v>108</v>
      </c>
      <c r="P104" s="22" t="s">
        <v>101</v>
      </c>
      <c r="Q104" s="23">
        <v>1.3</v>
      </c>
      <c r="R104" s="28">
        <f>+R103/R105*100</f>
        <v>3.1974273955712547</v>
      </c>
      <c r="S104" s="28">
        <f>+S103/S105*100</f>
        <v>0.49285362247412517</v>
      </c>
    </row>
    <row r="105" spans="1:21">
      <c r="H105">
        <v>2010</v>
      </c>
      <c r="I105">
        <v>17610</v>
      </c>
      <c r="P105" s="25" t="s">
        <v>13</v>
      </c>
      <c r="Q105" s="26">
        <v>17610</v>
      </c>
      <c r="R105" s="26">
        <v>60017</v>
      </c>
      <c r="S105" s="30">
        <v>103479</v>
      </c>
    </row>
    <row r="106" spans="1:21">
      <c r="H106">
        <v>2011</v>
      </c>
      <c r="I106">
        <v>60017</v>
      </c>
    </row>
    <row r="115" spans="1:5" ht="13.15">
      <c r="A115" s="6" t="s">
        <v>14</v>
      </c>
      <c r="B115" s="8">
        <v>2010</v>
      </c>
      <c r="C115" s="8">
        <v>2011</v>
      </c>
      <c r="D115" s="8">
        <v>2012</v>
      </c>
      <c r="E115" s="8">
        <v>2015</v>
      </c>
    </row>
    <row r="116" spans="1:5">
      <c r="A116" s="9">
        <v>2010</v>
      </c>
      <c r="B116" s="10">
        <v>2512</v>
      </c>
      <c r="C116" s="10">
        <v>11020</v>
      </c>
      <c r="D116" s="10">
        <v>22875</v>
      </c>
      <c r="E116" s="10">
        <v>116444</v>
      </c>
    </row>
    <row r="117" spans="1:5">
      <c r="A117" s="5">
        <v>2011</v>
      </c>
      <c r="B117" s="10">
        <v>14685</v>
      </c>
      <c r="C117" s="10">
        <v>46697</v>
      </c>
      <c r="D117" s="10">
        <v>69025</v>
      </c>
      <c r="E117" s="10">
        <v>148674</v>
      </c>
    </row>
    <row r="118" spans="1:5">
      <c r="A118" s="5" t="s">
        <v>8</v>
      </c>
      <c r="B118" s="7">
        <v>179</v>
      </c>
      <c r="C118" s="7">
        <v>476</v>
      </c>
      <c r="D118" s="7">
        <v>490</v>
      </c>
      <c r="E118" s="7">
        <v>197</v>
      </c>
    </row>
    <row r="119" spans="1:5">
      <c r="A119" s="5" t="s">
        <v>9</v>
      </c>
      <c r="B119" s="7">
        <v>0</v>
      </c>
      <c r="C119" s="7">
        <v>0</v>
      </c>
      <c r="D119" s="10">
        <v>4348</v>
      </c>
      <c r="E119" s="10">
        <v>34435</v>
      </c>
    </row>
    <row r="120" spans="1:5">
      <c r="A120" s="5" t="s">
        <v>10</v>
      </c>
      <c r="B120" s="7">
        <v>0</v>
      </c>
      <c r="C120" s="10">
        <v>3016</v>
      </c>
      <c r="D120" s="10">
        <v>6274</v>
      </c>
      <c r="E120" s="10">
        <v>26123</v>
      </c>
    </row>
    <row r="121" spans="1:5">
      <c r="A121" s="5" t="s">
        <v>11</v>
      </c>
      <c r="B121" s="7">
        <v>0</v>
      </c>
      <c r="C121" s="10">
        <v>2053</v>
      </c>
      <c r="D121" s="7">
        <v>0</v>
      </c>
      <c r="E121" s="7">
        <v>0</v>
      </c>
    </row>
    <row r="122" spans="1:5">
      <c r="A122" s="5" t="s">
        <v>12</v>
      </c>
      <c r="B122" s="7">
        <v>235</v>
      </c>
      <c r="C122" s="7">
        <v>375</v>
      </c>
      <c r="D122" s="7">
        <v>467</v>
      </c>
      <c r="E122" s="7">
        <v>431</v>
      </c>
    </row>
    <row r="136" spans="2:2" ht="13.15">
      <c r="B136" s="6" t="s">
        <v>13</v>
      </c>
    </row>
    <row r="137" spans="2:2" ht="13.15">
      <c r="B137" s="11">
        <v>17610</v>
      </c>
    </row>
    <row r="138" spans="2:2" ht="13.15">
      <c r="B138" s="11">
        <v>63637</v>
      </c>
    </row>
    <row r="139" spans="2:2" ht="13.15">
      <c r="B139" s="11">
        <v>103479</v>
      </c>
    </row>
    <row r="140" spans="2:2" ht="13.15">
      <c r="B140" s="11">
        <v>326304</v>
      </c>
    </row>
  </sheetData>
  <phoneticPr fontId="0" type="noConversion"/>
  <hyperlinks>
    <hyperlink ref="A74" r:id="rId1" xr:uid="{8F1E0DD5-B57B-465E-A602-7C208BD98F71}"/>
    <hyperlink ref="A72" r:id="rId2" xr:uid="{2DCB316A-DD30-45E5-AEDE-38FEFD17BE87}"/>
    <hyperlink ref="F74" r:id="rId3" xr:uid="{1163CCF0-BF0B-46FF-8350-B2867787E7DF}"/>
    <hyperlink ref="H73" r:id="rId4" xr:uid="{8550F347-A6B9-4687-99F7-0874FB5830C7}"/>
  </hyperlinks>
  <pageMargins left="0.75" right="0.75" top="1" bottom="1" header="0.5" footer="0.5"/>
  <pageSetup orientation="portrait" horizontalDpi="4294967292" verticalDpi="4294967292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8689-F300-4362-9D2C-3041CBBA2B52}">
  <dimension ref="A2:P42"/>
  <sheetViews>
    <sheetView tabSelected="1" workbookViewId="0">
      <selection activeCell="B3" sqref="B3"/>
    </sheetView>
  </sheetViews>
  <sheetFormatPr defaultRowHeight="12.75"/>
  <cols>
    <col min="4" max="4" width="15" bestFit="1" customWidth="1"/>
    <col min="6" max="6" width="10.265625" customWidth="1"/>
  </cols>
  <sheetData>
    <row r="2" spans="1:16" ht="13.15">
      <c r="A2" s="18" t="s">
        <v>37</v>
      </c>
    </row>
    <row r="3" spans="1:16">
      <c r="B3" s="35" t="s">
        <v>120</v>
      </c>
    </row>
    <row r="4" spans="1:16" ht="26.25">
      <c r="B4" s="36" t="s">
        <v>22</v>
      </c>
      <c r="C4" s="36" t="s">
        <v>30</v>
      </c>
      <c r="D4" s="36" t="s">
        <v>27</v>
      </c>
      <c r="E4" s="36" t="s">
        <v>23</v>
      </c>
      <c r="F4" s="36" t="s">
        <v>24</v>
      </c>
      <c r="H4" t="s">
        <v>26</v>
      </c>
      <c r="I4" t="s">
        <v>32</v>
      </c>
      <c r="J4" t="s">
        <v>25</v>
      </c>
      <c r="K4" t="s">
        <v>28</v>
      </c>
      <c r="L4" t="s">
        <v>31</v>
      </c>
      <c r="M4" t="s">
        <v>29</v>
      </c>
      <c r="N4" t="s">
        <v>38</v>
      </c>
      <c r="O4" t="s">
        <v>33</v>
      </c>
      <c r="P4" t="s">
        <v>61</v>
      </c>
    </row>
    <row r="5" spans="1:16" ht="13.15">
      <c r="B5" s="37">
        <v>1975</v>
      </c>
      <c r="C5" s="38">
        <v>0.5</v>
      </c>
      <c r="D5" s="38">
        <v>0</v>
      </c>
      <c r="E5" s="38">
        <v>0</v>
      </c>
      <c r="F5" s="38">
        <v>0</v>
      </c>
      <c r="G5" s="33"/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0.5</v>
      </c>
    </row>
    <row r="6" spans="1:16" ht="13.15">
      <c r="B6" s="37">
        <v>1976</v>
      </c>
      <c r="C6" s="38">
        <v>4.5999999999999996</v>
      </c>
      <c r="D6" s="38">
        <v>0</v>
      </c>
      <c r="E6" s="38">
        <v>0</v>
      </c>
      <c r="F6" s="38">
        <v>0</v>
      </c>
      <c r="G6" s="33"/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4</v>
      </c>
      <c r="P6" s="33">
        <v>0.6</v>
      </c>
    </row>
    <row r="7" spans="1:16" ht="13.15">
      <c r="B7" s="37">
        <v>1977</v>
      </c>
      <c r="C7" s="38">
        <v>15</v>
      </c>
      <c r="D7" s="38">
        <v>0</v>
      </c>
      <c r="E7" s="38">
        <v>0.06</v>
      </c>
      <c r="F7" s="38">
        <v>0</v>
      </c>
      <c r="G7" s="33"/>
      <c r="H7" s="33">
        <v>0</v>
      </c>
      <c r="I7" s="33">
        <v>0</v>
      </c>
      <c r="J7" s="33">
        <v>0</v>
      </c>
      <c r="K7" s="33">
        <v>0</v>
      </c>
      <c r="L7" s="33">
        <v>10</v>
      </c>
      <c r="M7" s="33">
        <v>0</v>
      </c>
      <c r="N7" s="33">
        <v>0.4</v>
      </c>
      <c r="O7" s="33">
        <v>5</v>
      </c>
      <c r="P7" s="33">
        <v>1</v>
      </c>
    </row>
    <row r="8" spans="1:16" ht="13.15">
      <c r="B8" s="37">
        <v>1978</v>
      </c>
      <c r="C8" s="38">
        <v>25.8</v>
      </c>
      <c r="D8" s="38">
        <v>0</v>
      </c>
      <c r="E8" s="38">
        <v>0.76</v>
      </c>
      <c r="F8" s="38">
        <v>0</v>
      </c>
      <c r="G8" s="33"/>
      <c r="H8" s="33">
        <v>0</v>
      </c>
      <c r="I8" s="33">
        <v>0</v>
      </c>
      <c r="J8" s="33">
        <v>0</v>
      </c>
      <c r="K8" s="33">
        <v>0</v>
      </c>
      <c r="L8" s="33">
        <v>15</v>
      </c>
      <c r="M8" s="33">
        <v>0</v>
      </c>
      <c r="N8" s="33">
        <v>3</v>
      </c>
      <c r="O8" s="33">
        <v>10</v>
      </c>
      <c r="P8" s="33">
        <v>0.4</v>
      </c>
    </row>
    <row r="9" spans="1:16" ht="13.15">
      <c r="B9" s="37">
        <v>1979</v>
      </c>
      <c r="C9" s="38">
        <v>58</v>
      </c>
      <c r="D9" s="38">
        <v>0</v>
      </c>
      <c r="E9" s="38">
        <v>3.5</v>
      </c>
      <c r="F9" s="38">
        <v>0</v>
      </c>
      <c r="G9" s="33"/>
      <c r="H9" s="33">
        <v>0</v>
      </c>
      <c r="I9" s="33">
        <v>100</v>
      </c>
      <c r="J9" s="33">
        <v>0</v>
      </c>
      <c r="K9" s="33">
        <v>0</v>
      </c>
      <c r="L9" s="33">
        <v>20</v>
      </c>
      <c r="M9" s="33">
        <v>0</v>
      </c>
      <c r="N9" s="33">
        <v>4.5</v>
      </c>
      <c r="O9" s="33">
        <v>20</v>
      </c>
      <c r="P9" s="33">
        <v>0</v>
      </c>
    </row>
    <row r="10" spans="1:16" ht="13.15">
      <c r="B10" s="37">
        <v>1980</v>
      </c>
      <c r="C10" s="38">
        <v>72.400000000000006</v>
      </c>
      <c r="D10" s="38">
        <v>0</v>
      </c>
      <c r="E10" s="38">
        <v>7.8</v>
      </c>
      <c r="F10" s="38">
        <v>0</v>
      </c>
      <c r="G10" s="33"/>
      <c r="H10" s="33">
        <v>0</v>
      </c>
      <c r="I10" s="33">
        <v>200</v>
      </c>
      <c r="J10" s="33">
        <v>0</v>
      </c>
      <c r="K10" s="33">
        <v>0</v>
      </c>
      <c r="L10" s="33">
        <v>29</v>
      </c>
      <c r="M10" s="33">
        <v>0</v>
      </c>
      <c r="N10" s="33">
        <v>9</v>
      </c>
      <c r="O10" s="33">
        <v>42.4</v>
      </c>
      <c r="P10" s="33">
        <v>0</v>
      </c>
    </row>
    <row r="11" spans="1:16" ht="13.15">
      <c r="B11" s="37">
        <v>1981</v>
      </c>
      <c r="C11" s="38">
        <v>140</v>
      </c>
      <c r="D11" s="38">
        <v>3.5</v>
      </c>
      <c r="E11" s="38">
        <v>21</v>
      </c>
      <c r="F11" s="38">
        <v>0</v>
      </c>
      <c r="G11" s="33"/>
      <c r="H11" s="33">
        <v>0</v>
      </c>
      <c r="I11" s="33">
        <v>300</v>
      </c>
      <c r="J11" s="33">
        <v>0</v>
      </c>
      <c r="K11" s="33">
        <v>0</v>
      </c>
      <c r="L11" s="33">
        <v>25</v>
      </c>
      <c r="M11" s="33">
        <v>0</v>
      </c>
      <c r="N11" s="33">
        <v>4</v>
      </c>
      <c r="O11" s="33">
        <v>60.5</v>
      </c>
      <c r="P11" s="33">
        <v>0</v>
      </c>
    </row>
    <row r="12" spans="1:16" ht="13.15">
      <c r="B12" s="37">
        <v>1982</v>
      </c>
      <c r="C12" s="38">
        <v>280</v>
      </c>
      <c r="D12" s="38">
        <v>24</v>
      </c>
      <c r="E12" s="38">
        <v>27.9</v>
      </c>
      <c r="F12" s="38">
        <v>0</v>
      </c>
      <c r="G12" s="33"/>
      <c r="H12" s="33">
        <v>0</v>
      </c>
      <c r="I12" s="33">
        <v>600</v>
      </c>
      <c r="J12" s="33">
        <v>0</v>
      </c>
      <c r="K12" s="33">
        <v>20</v>
      </c>
      <c r="L12" s="33">
        <v>30</v>
      </c>
      <c r="M12" s="33">
        <v>0</v>
      </c>
      <c r="N12" s="33">
        <v>1</v>
      </c>
      <c r="O12" s="33">
        <v>118.1</v>
      </c>
      <c r="P12" s="33">
        <v>0</v>
      </c>
    </row>
    <row r="13" spans="1:16" ht="13.15">
      <c r="B13" s="37">
        <v>1983</v>
      </c>
      <c r="C13" s="38">
        <v>492</v>
      </c>
      <c r="D13" s="38">
        <v>130</v>
      </c>
      <c r="E13" s="38">
        <v>42</v>
      </c>
      <c r="F13" s="38">
        <v>0</v>
      </c>
      <c r="G13" s="33"/>
      <c r="H13" s="33">
        <v>0</v>
      </c>
      <c r="I13" s="33">
        <v>500</v>
      </c>
      <c r="J13" s="33">
        <v>0</v>
      </c>
      <c r="K13" s="33">
        <v>200</v>
      </c>
      <c r="L13" s="33">
        <v>20</v>
      </c>
      <c r="M13" s="33">
        <v>0</v>
      </c>
      <c r="N13" s="33">
        <v>0</v>
      </c>
      <c r="O13" s="33">
        <v>50</v>
      </c>
      <c r="P13" s="33">
        <v>0</v>
      </c>
    </row>
    <row r="14" spans="1:16" ht="13.15">
      <c r="B14" s="37">
        <v>1984</v>
      </c>
      <c r="C14" s="38">
        <v>632.20000000000005</v>
      </c>
      <c r="D14" s="38">
        <v>200</v>
      </c>
      <c r="E14" s="38">
        <v>100</v>
      </c>
      <c r="F14" s="38">
        <v>37.200000000000003</v>
      </c>
      <c r="G14" s="33"/>
      <c r="H14" s="33">
        <v>0</v>
      </c>
      <c r="I14" s="33">
        <v>200</v>
      </c>
      <c r="J14" s="33">
        <v>0</v>
      </c>
      <c r="K14" s="33">
        <v>250</v>
      </c>
      <c r="L14" s="33">
        <v>5</v>
      </c>
      <c r="M14" s="33">
        <v>0</v>
      </c>
      <c r="N14" s="33">
        <v>0</v>
      </c>
      <c r="O14" s="33">
        <v>20</v>
      </c>
      <c r="P14" s="33">
        <v>0</v>
      </c>
    </row>
    <row r="15" spans="1:16" ht="13.15">
      <c r="B15" s="37">
        <v>1985</v>
      </c>
      <c r="C15" s="38">
        <v>761</v>
      </c>
      <c r="D15" s="38">
        <v>370</v>
      </c>
      <c r="E15" s="38">
        <v>90</v>
      </c>
      <c r="F15" s="38">
        <v>20</v>
      </c>
      <c r="G15" s="33"/>
      <c r="H15" s="33">
        <v>10</v>
      </c>
      <c r="I15" s="33">
        <v>100</v>
      </c>
      <c r="J15" s="33">
        <v>100</v>
      </c>
      <c r="K15" s="33">
        <v>250</v>
      </c>
      <c r="L15" s="33">
        <v>1</v>
      </c>
      <c r="M15" s="33">
        <v>0</v>
      </c>
      <c r="N15" s="33">
        <v>0</v>
      </c>
      <c r="O15" s="33">
        <v>0</v>
      </c>
      <c r="P15" s="33">
        <v>0</v>
      </c>
    </row>
    <row r="16" spans="1:16" ht="13.15">
      <c r="B16" s="37">
        <v>1986</v>
      </c>
      <c r="C16" s="38">
        <v>900</v>
      </c>
      <c r="D16" s="38">
        <v>502</v>
      </c>
      <c r="E16" s="38">
        <v>70</v>
      </c>
      <c r="F16" s="38">
        <v>38</v>
      </c>
      <c r="G16" s="33"/>
      <c r="H16" s="33">
        <v>20</v>
      </c>
      <c r="I16" s="33">
        <v>0</v>
      </c>
      <c r="J16" s="33">
        <v>200</v>
      </c>
      <c r="K16" s="33">
        <v>250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</row>
    <row r="17" spans="2:16" ht="13.15">
      <c r="B17" s="37">
        <v>1987</v>
      </c>
      <c r="C17" s="38">
        <v>920</v>
      </c>
      <c r="D17" s="38">
        <v>595</v>
      </c>
      <c r="E17" s="38">
        <v>50</v>
      </c>
      <c r="F17" s="38">
        <v>55</v>
      </c>
      <c r="G17" s="33"/>
      <c r="H17" s="33">
        <v>30</v>
      </c>
      <c r="I17" s="33">
        <v>0</v>
      </c>
      <c r="J17" s="33">
        <v>400</v>
      </c>
      <c r="K17" s="33">
        <v>150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</row>
    <row r="18" spans="2:16" ht="13.15">
      <c r="B18" s="37">
        <v>1988</v>
      </c>
      <c r="C18" s="38">
        <v>1500</v>
      </c>
      <c r="D18" s="38">
        <v>1190</v>
      </c>
      <c r="E18" s="38">
        <v>20</v>
      </c>
      <c r="F18" s="38">
        <v>90</v>
      </c>
      <c r="G18" s="33"/>
      <c r="H18" s="33">
        <v>40</v>
      </c>
      <c r="I18" s="33">
        <v>0</v>
      </c>
      <c r="J18" s="33">
        <v>350</v>
      </c>
      <c r="K18" s="33">
        <v>125</v>
      </c>
      <c r="L18" s="33">
        <v>0</v>
      </c>
      <c r="M18" s="33">
        <v>1.2</v>
      </c>
      <c r="N18" s="33">
        <v>0</v>
      </c>
      <c r="O18" s="33">
        <v>0</v>
      </c>
      <c r="P18" s="33">
        <v>0</v>
      </c>
    </row>
    <row r="19" spans="2:16" ht="13.15">
      <c r="B19" s="37">
        <v>1989</v>
      </c>
      <c r="C19" s="38">
        <v>2100</v>
      </c>
      <c r="D19" s="38">
        <v>1755</v>
      </c>
      <c r="E19" s="38">
        <v>20</v>
      </c>
      <c r="F19" s="38">
        <v>110</v>
      </c>
      <c r="G19" s="33"/>
      <c r="H19" s="33">
        <v>60</v>
      </c>
      <c r="I19" s="33">
        <v>0</v>
      </c>
      <c r="J19" s="33">
        <v>300</v>
      </c>
      <c r="K19" s="33">
        <v>125</v>
      </c>
      <c r="L19" s="33">
        <v>0</v>
      </c>
      <c r="M19" s="33">
        <v>1.2</v>
      </c>
      <c r="N19" s="33">
        <v>0</v>
      </c>
      <c r="O19" s="33">
        <v>0</v>
      </c>
      <c r="P19" s="33">
        <v>0</v>
      </c>
    </row>
    <row r="20" spans="2:16" ht="13.15">
      <c r="B20" s="37">
        <v>1990</v>
      </c>
      <c r="C20" s="38">
        <v>2000</v>
      </c>
      <c r="D20" s="38">
        <v>1683.8</v>
      </c>
      <c r="E20" s="38">
        <v>10</v>
      </c>
      <c r="F20" s="38">
        <v>130</v>
      </c>
      <c r="G20" s="33"/>
      <c r="H20" s="33">
        <v>75</v>
      </c>
      <c r="I20" s="33">
        <v>0</v>
      </c>
      <c r="J20" s="33">
        <v>300</v>
      </c>
      <c r="K20" s="33">
        <v>70</v>
      </c>
      <c r="L20" s="33">
        <v>0</v>
      </c>
      <c r="M20" s="33">
        <v>1.2</v>
      </c>
      <c r="N20" s="33">
        <v>0</v>
      </c>
      <c r="O20" s="33">
        <v>0</v>
      </c>
      <c r="P20" s="33">
        <v>0</v>
      </c>
    </row>
    <row r="21" spans="2:16" ht="13.15">
      <c r="B21" s="37">
        <v>1991</v>
      </c>
      <c r="C21" s="38">
        <v>1875</v>
      </c>
      <c r="D21" s="38">
        <v>1439.9</v>
      </c>
      <c r="E21" s="38">
        <v>10</v>
      </c>
      <c r="F21" s="38">
        <v>210</v>
      </c>
      <c r="G21" s="33"/>
      <c r="H21" s="33">
        <v>103.5</v>
      </c>
      <c r="I21" s="33">
        <v>0</v>
      </c>
      <c r="J21" s="33">
        <v>300</v>
      </c>
      <c r="K21" s="33">
        <v>80</v>
      </c>
      <c r="L21" s="33">
        <v>0</v>
      </c>
      <c r="M21" s="33">
        <v>1.6</v>
      </c>
      <c r="N21" s="33">
        <v>0</v>
      </c>
      <c r="O21" s="33">
        <v>0</v>
      </c>
      <c r="P21" s="33">
        <v>0</v>
      </c>
    </row>
    <row r="22" spans="2:16" ht="13.15">
      <c r="B22" s="37">
        <v>1992</v>
      </c>
      <c r="C22" s="38">
        <v>2080</v>
      </c>
      <c r="D22" s="38">
        <v>1830</v>
      </c>
      <c r="E22" s="38">
        <v>10</v>
      </c>
      <c r="F22" s="38">
        <v>250</v>
      </c>
      <c r="G22" s="33"/>
      <c r="H22" s="33">
        <v>39</v>
      </c>
      <c r="I22" s="33">
        <v>0</v>
      </c>
      <c r="J22" s="33">
        <v>120</v>
      </c>
      <c r="K22" s="33">
        <v>30</v>
      </c>
      <c r="L22" s="33">
        <v>0</v>
      </c>
      <c r="M22" s="33">
        <v>1</v>
      </c>
      <c r="N22" s="33">
        <v>0</v>
      </c>
      <c r="O22" s="33">
        <v>0</v>
      </c>
      <c r="P22" s="33">
        <v>0</v>
      </c>
    </row>
    <row r="23" spans="2:16" ht="13.15">
      <c r="B23" s="37">
        <v>1993</v>
      </c>
      <c r="C23" s="38">
        <v>3105</v>
      </c>
      <c r="D23" s="38">
        <v>2775</v>
      </c>
      <c r="E23" s="38">
        <v>3</v>
      </c>
      <c r="F23" s="38">
        <v>330</v>
      </c>
      <c r="G23" s="33"/>
      <c r="H23" s="33">
        <v>15.5</v>
      </c>
      <c r="I23" s="33">
        <v>0</v>
      </c>
      <c r="J23" s="33">
        <v>30</v>
      </c>
      <c r="K23" s="33">
        <v>17.5</v>
      </c>
      <c r="L23" s="33">
        <v>0</v>
      </c>
      <c r="M23" s="33">
        <v>0.5</v>
      </c>
      <c r="N23" s="33">
        <v>0</v>
      </c>
      <c r="O23" s="33">
        <v>0</v>
      </c>
      <c r="P23" s="33">
        <v>0</v>
      </c>
    </row>
    <row r="24" spans="2:16" ht="13.15">
      <c r="B24" s="37">
        <v>1994</v>
      </c>
      <c r="C24" s="38">
        <v>4100</v>
      </c>
      <c r="D24" s="38">
        <v>3720</v>
      </c>
      <c r="E24" s="38">
        <v>0</v>
      </c>
      <c r="F24" s="38">
        <v>380</v>
      </c>
      <c r="G24" s="33"/>
      <c r="H24" s="33">
        <v>5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</row>
    <row r="25" spans="2:16" ht="13.15">
      <c r="B25" s="37">
        <v>1995</v>
      </c>
      <c r="C25" s="38">
        <v>5000</v>
      </c>
      <c r="D25" s="38">
        <v>4588</v>
      </c>
      <c r="E25" s="38">
        <v>0</v>
      </c>
      <c r="F25" s="38">
        <v>412</v>
      </c>
      <c r="G25" s="33"/>
      <c r="H25" s="33">
        <v>4.2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</row>
    <row r="26" spans="2:16" ht="13.15">
      <c r="B26" s="37">
        <v>1996</v>
      </c>
      <c r="C26" s="38">
        <v>7800</v>
      </c>
      <c r="D26" s="38">
        <v>7461.2</v>
      </c>
      <c r="E26" s="38">
        <v>0</v>
      </c>
      <c r="F26" s="38">
        <v>338.8</v>
      </c>
      <c r="G26" s="33"/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</row>
    <row r="27" spans="2:16" ht="13.15">
      <c r="B27" s="37">
        <v>1997</v>
      </c>
      <c r="C27" s="38">
        <v>8100</v>
      </c>
      <c r="D27" s="38">
        <v>7841.4</v>
      </c>
      <c r="E27" s="38">
        <v>0</v>
      </c>
      <c r="F27" s="38">
        <v>258.60000000000002</v>
      </c>
      <c r="G27" s="33"/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</row>
    <row r="28" spans="2:16" ht="13.15">
      <c r="B28" s="37">
        <v>1998</v>
      </c>
      <c r="C28" s="38">
        <v>10000</v>
      </c>
      <c r="D28" s="38">
        <v>9692.7999999999993</v>
      </c>
      <c r="E28" s="38">
        <v>0</v>
      </c>
      <c r="F28" s="38">
        <v>307.2</v>
      </c>
      <c r="G28" s="33"/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</row>
    <row r="29" spans="2:16" ht="13.15">
      <c r="B29" s="37">
        <v>1999</v>
      </c>
      <c r="C29" s="38">
        <v>12000</v>
      </c>
      <c r="D29" s="38">
        <v>11611.9</v>
      </c>
      <c r="E29" s="38">
        <v>0</v>
      </c>
      <c r="F29" s="38">
        <v>388.1</v>
      </c>
      <c r="G29" s="33"/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</row>
    <row r="30" spans="2:16" ht="13.15">
      <c r="B30" s="37">
        <v>2000</v>
      </c>
      <c r="C30" s="38">
        <v>13800</v>
      </c>
      <c r="D30" s="38">
        <v>13416</v>
      </c>
      <c r="E30" s="38">
        <v>0</v>
      </c>
      <c r="F30" s="38">
        <v>384</v>
      </c>
      <c r="G30" s="33"/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</row>
    <row r="31" spans="2:16" ht="13.15">
      <c r="B31" s="37">
        <v>2001</v>
      </c>
      <c r="C31" s="38">
        <v>12800</v>
      </c>
      <c r="D31" s="38">
        <v>12482.6</v>
      </c>
      <c r="E31" s="38">
        <v>0</v>
      </c>
      <c r="F31" s="38">
        <v>317.39999999999998</v>
      </c>
      <c r="G31" s="33"/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</row>
    <row r="32" spans="2:16" ht="13.15">
      <c r="B32" s="37">
        <v>2002</v>
      </c>
      <c r="C32" s="38">
        <v>13200</v>
      </c>
      <c r="D32" s="38">
        <v>12890.2</v>
      </c>
      <c r="E32" s="38">
        <v>0</v>
      </c>
      <c r="F32" s="38">
        <v>309.8</v>
      </c>
      <c r="G32" s="33"/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</row>
    <row r="33" spans="2:16" ht="13.15">
      <c r="B33" s="37">
        <v>2003</v>
      </c>
      <c r="C33" s="38">
        <v>15080</v>
      </c>
      <c r="D33" s="38">
        <v>14770.2</v>
      </c>
      <c r="E33" s="38">
        <v>0</v>
      </c>
      <c r="F33" s="38">
        <v>309.8</v>
      </c>
      <c r="G33" s="33"/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</row>
    <row r="34" spans="2:16" ht="13.15">
      <c r="B34" s="37">
        <v>2004</v>
      </c>
      <c r="C34" s="38">
        <v>17670</v>
      </c>
      <c r="D34" s="38">
        <v>17319.3</v>
      </c>
      <c r="E34" s="38">
        <v>0</v>
      </c>
      <c r="F34" s="38">
        <v>350.7</v>
      </c>
      <c r="G34" s="33"/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</row>
    <row r="35" spans="2:16" ht="13.15">
      <c r="B35" s="37">
        <v>2005</v>
      </c>
      <c r="C35" s="38">
        <v>19697.5</v>
      </c>
      <c r="D35" s="38">
        <v>19223.3</v>
      </c>
      <c r="E35" s="38">
        <v>0</v>
      </c>
      <c r="F35" s="38">
        <v>474.2</v>
      </c>
      <c r="G35" s="33"/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</row>
    <row r="36" spans="2:16" ht="13.15">
      <c r="B36" s="37">
        <v>2006</v>
      </c>
      <c r="C36" s="38">
        <v>23921.1</v>
      </c>
      <c r="D36" s="38">
        <v>23355.599999999999</v>
      </c>
      <c r="E36" s="38">
        <v>0</v>
      </c>
      <c r="F36" s="38">
        <v>565.5</v>
      </c>
      <c r="G36" s="33"/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</row>
    <row r="37" spans="2:16" ht="13.15">
      <c r="B37" s="37">
        <v>2007</v>
      </c>
      <c r="C37" s="38">
        <v>27118</v>
      </c>
      <c r="D37" s="38">
        <v>26341.599999999999</v>
      </c>
      <c r="E37" s="38">
        <v>0</v>
      </c>
      <c r="F37" s="38">
        <v>776.4</v>
      </c>
      <c r="G37" s="33"/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</row>
    <row r="38" spans="2:16" ht="13.15">
      <c r="B38" s="37">
        <v>2008</v>
      </c>
      <c r="C38" s="38">
        <v>29700</v>
      </c>
      <c r="D38" s="38">
        <v>28707.8</v>
      </c>
      <c r="E38" s="38">
        <v>0</v>
      </c>
      <c r="F38" s="38">
        <v>992.2</v>
      </c>
      <c r="G38" s="33"/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</row>
    <row r="39" spans="2:16" ht="13.15">
      <c r="B39" s="37">
        <v>2009</v>
      </c>
      <c r="C39" s="38">
        <v>30912.2</v>
      </c>
      <c r="D39" s="38">
        <v>29790.1</v>
      </c>
      <c r="E39" s="38">
        <v>0</v>
      </c>
      <c r="F39" s="38">
        <v>1122.0999999999999</v>
      </c>
      <c r="G39" s="33"/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</row>
    <row r="40" spans="2:16" ht="13.15">
      <c r="B40" s="37">
        <v>2010</v>
      </c>
      <c r="C40" s="38">
        <v>35240</v>
      </c>
      <c r="D40" s="38">
        <v>33797</v>
      </c>
      <c r="E40" s="38">
        <v>0</v>
      </c>
      <c r="F40" s="38">
        <v>1443</v>
      </c>
      <c r="G40" s="33"/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</row>
    <row r="41" spans="2:16" ht="13.15">
      <c r="B41" s="37">
        <v>2011</v>
      </c>
      <c r="C41" s="38">
        <v>35344.1</v>
      </c>
      <c r="D41" s="38">
        <v>33564.1</v>
      </c>
      <c r="E41" s="38">
        <v>0</v>
      </c>
      <c r="F41" s="38">
        <v>1780</v>
      </c>
      <c r="G41" s="33"/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</row>
    <row r="42" spans="2:16" s="34" customFormat="1"/>
  </sheetData>
  <phoneticPr fontId="1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佐野修正</vt:lpstr>
      <vt:lpstr>Sheet1!_Hlk304448985</vt:lpstr>
    </vt:vector>
  </TitlesOfParts>
  <Company>Pegasus 3D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Reimer</dc:creator>
  <cp:lastModifiedBy>sano-lecture-live-jp 佐野正博</cp:lastModifiedBy>
  <dcterms:created xsi:type="dcterms:W3CDTF">2002-10-20T03:37:45Z</dcterms:created>
  <dcterms:modified xsi:type="dcterms:W3CDTF">2025-07-08T01:35:22Z</dcterms:modified>
</cp:coreProperties>
</file>